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autoCompressPictures="0" defaultThemeVersion="124226"/>
  <mc:AlternateContent xmlns:mc="http://schemas.openxmlformats.org/markup-compatibility/2006">
    <mc:Choice Requires="x15">
      <x15ac:absPath xmlns:x15ac="http://schemas.microsoft.com/office/spreadsheetml/2010/11/ac" url="https://uri0.sharepoint.com/sites/BudgetOffice/Shared Documents/General/Budget Drive/ALL&amp;BUD/FY24/Allocation/Post to Web/"/>
    </mc:Choice>
  </mc:AlternateContent>
  <xr:revisionPtr revIDLastSave="0" documentId="8_{39F390C4-3956-4E23-AC68-553299961C2B}" xr6:coauthVersionLast="47" xr6:coauthVersionMax="47" xr10:uidLastSave="{00000000-0000-0000-0000-000000000000}"/>
  <bookViews>
    <workbookView xWindow="-108" yWindow="-108" windowWidth="23256" windowHeight="12576" tabRatio="924" activeTab="1" xr2:uid="{00000000-000D-0000-FFFF-FFFF00000000}"/>
  </bookViews>
  <sheets>
    <sheet name="Instructions" sheetId="17" r:id="rId1"/>
    <sheet name="Calculator - Basic" sheetId="13" r:id="rId2"/>
    <sheet name="Calculator - Variance" sheetId="16" r:id="rId3"/>
    <sheet name="Calculator - Multiple Positions" sheetId="8" r:id="rId4"/>
    <sheet name="Codes &amp; Rates" sheetId="12" r:id="rId5"/>
  </sheets>
  <definedNames>
    <definedName name="_xlnm._FilterDatabase" localSheetId="3" hidden="1">'Calculator - Multiple Positions'!$A$6:$AH$28</definedName>
    <definedName name="CopayFactor1" localSheetId="1">(1-IF('Calculator - Basic'!$F$7="Individual",INDEX(Individual_copayrates_table,MATCH(VLOOKUP('Calculator - Basic'!$F$3,Individual_copayrates_salaryrange,1),Individual_copayrates_salary,0),MATCH('Calculator - Basic'!$F$6,Individual_copayrates_union,0)),INDEX(Family_copayrates_table,MATCH(VLOOKUP('Calculator - Basic'!$F$3,Family_copayrates_salaryrange,1),Family_copayrates_salary,0),MATCH('Calculator - Basic'!$F$6,Family_copayrates_union,0))))</definedName>
    <definedName name="CopayFactor1" localSheetId="3">(1-IF('Calculator - Multiple Positions'!$J1="Individual",INDEX(Individual_copayrates_table,MATCH(VLOOKUP('Calculator - Multiple Positions'!$F1,Individual_copayrates_salaryrange,1),Individual_copayrates_salary,0),MATCH('Calculator - Multiple Positions'!$I1,Individual_copayrates_union,0)),INDEX(Family_copayrates_table,MATCH(VLOOKUP('Calculator - Multiple Positions'!$F1,Family_copayrates_salaryrange,1),Family_copayrates_salary,0),MATCH('Calculator - Multiple Positions'!$I1,Family_copayrates_union,0))))</definedName>
    <definedName name="CopayFactor1" localSheetId="2">(1-IF('Calculator - Variance'!A$7="Individual",INDEX(Individual_copayrates_table,MATCH(VLOOKUP('Calculator - Variance'!A$3,Individual_copayrates_salaryrange,1),Individual_copayrates_salary,0),MATCH('Calculator - Variance'!A$6,Individual_copayrates_union,0)),INDEX(Family_copayrates_table,MATCH(VLOOKUP('Calculator - Variance'!A$3,Family_copayrates_salaryrange,1),Family_copayrates_salary,0),MATCH('Calculator - Variance'!A$6,Family_copayrates_union,0))))</definedName>
    <definedName name="CopayFactor2" localSheetId="1">(1-IF('Calculator - Basic'!$F$7="Individual",INDEX(Individual_copayrates_table,MATCH(VLOOKUP('Calculator - Basic'!$F$3,Individual_copayrates_salaryrange,1),Individual_copayrates_salary,0),MATCH('Calculator - Basic'!$F$4,Individual_copayrates_union,0)),INDEX(Family_copayrates_table,MATCH(VLOOKUP('Calculator - Basic'!$F$3,Family_copayrates_salaryrange,1),Family_copayrates_salary,0),MATCH('Calculator - Basic'!$F$4,Family_copayrates_union,0))))</definedName>
    <definedName name="CopayFactor2" localSheetId="3">(1-IF('Calculator - Multiple Positions'!$J1="Individual",INDEX(Individual_copayrates_table,MATCH(VLOOKUP('Calculator - Multiple Positions'!$F1,Individual_copayrates_salaryrange,1),Individual_copayrates_salary,0),MATCH('Calculator - Multiple Positions'!$G1,Individual_copayrates_union,0)),INDEX(Family_copayrates_table,MATCH(VLOOKUP('Calculator - Multiple Positions'!$F1,Family_copayrates_salaryrange,1),Family_copayrates_salary,0),MATCH('Calculator - Multiple Positions'!$G1,Family_copayrates_union,0))))</definedName>
    <definedName name="CopayFactor2" localSheetId="2">(1-IF('Calculator - Variance'!A$7="Individual",INDEX(Individual_copayrates_table,MATCH(VLOOKUP('Calculator - Variance'!A$3,Individual_copayrates_salaryrange,1),Individual_copayrates_salary,0),MATCH('Calculator - Variance'!A$4,Individual_copayrates_union,0)),INDEX(Family_copayrates_table,MATCH(VLOOKUP('Calculator - Variance'!A$3,Family_copayrates_salaryrange,1),Family_copayrates_salary,0),MATCH('Calculator - Variance'!A$4,Family_copayrates_union,0))))</definedName>
    <definedName name="CRFormula_ClasCopayRates" localSheetId="4">IF(ISNUMBER('Codes &amp; Rates'!$B1),'Codes &amp; Rates'!$B1,'Codes &amp; Rates'!A1048576)</definedName>
    <definedName name="CRFormula_ClasRates" localSheetId="4">'Codes &amp; Rates'!$B1</definedName>
    <definedName name="CRFormula_FacuCopayRates" localSheetId="4">IF(ISNUMBER('Codes &amp; Rates'!$N1),'Codes &amp; Rates'!$N1,'Codes &amp; Rates'!A1048576)</definedName>
    <definedName name="CRFormula_FacuRates" localSheetId="4">'Codes &amp; Rates'!$N1</definedName>
    <definedName name="CRFormula_heading" localSheetId="4">Current_cycle&amp;" - Rates"</definedName>
    <definedName name="CRFormula_NoncCopayRates" localSheetId="4">IF(ISNUMBER('Codes &amp; Rates'!$G1),'Codes &amp; Rates'!$G1,'Codes &amp; Rates'!A1048576)</definedName>
    <definedName name="CRFormula_NoncRates" localSheetId="4">'Codes &amp; Rates'!$G1</definedName>
    <definedName name="Current_cycle">'Codes &amp; Rates'!$O$68</definedName>
    <definedName name="Dental_rates_plan">'Codes &amp; Rates'!$A$18:$A$26</definedName>
    <definedName name="Dental_rates_table">'Codes &amp; Rates'!$A$18:$P$26</definedName>
    <definedName name="Dental_rates_union">'Codes &amp; Rates'!$A$18:$P$18</definedName>
    <definedName name="ERS_rate">'Codes &amp; Rates'!$B$68</definedName>
    <definedName name="ERSRHI_rate">'Codes &amp; Rates'!$B$70</definedName>
    <definedName name="Family_copayrates_salary">'Codes &amp; Rates'!$A$53:$A$60</definedName>
    <definedName name="Family_copayrates_salaryrange">'Codes &amp; Rates'!$A$54:$A$60</definedName>
    <definedName name="Family_copayrates_table">'Codes &amp; Rates'!$A$53:$P$60</definedName>
    <definedName name="Family_copayrates_union">'Codes &amp; Rates'!$A$53:$P$53</definedName>
    <definedName name="Formula_Account" localSheetId="1">IF('Calculator - Basic'!D1048573="Clas","5210","5250")</definedName>
    <definedName name="Formula_Account" localSheetId="3">IF('Calculator - Multiple Positions'!$G1="Clas","5210","5250")</definedName>
    <definedName name="Formula_Account" localSheetId="2">IF('Calculator - Variance'!D1048573="Clas","5210","5250")</definedName>
    <definedName name="Formula_Blerg" localSheetId="1">IF(OR('Calculator - Basic'!$F$8="ERS",AND('Calculator - Basic'!$F$4="Clas",'Calculator - Basic'!$F$8="Not Indicated Yet",'Calculator - Basic'!$F$12&lt;'Codes &amp; Rates'!$C$97)),'Calculator - Basic'!$F$13*TIAAHP1_Rate,IF(OR('Calculator - Basic'!$F$8="ERS",AND('Calculator - Basic'!$F$4="Clas",'Calculator - Basic'!$F$8="Not Indicated Yet",'Calculator - Basic'!$F$12&gt;='Codes &amp; Rates'!$B$98,'Calculator - Basic'!$F$12&lt;'Codes &amp; Rates'!$C$98)),'Calculator - Basic'!$F$13*TIAAHP2_Rate,IF(OR('Calculator - Basic'!$F$8="ERS",AND('Calculator - Basic'!$F$4="Clas",'Calculator - Basic'!$F$8="Not Indicated Yet",'Calculator - Basic'!$F$12&gt;='Codes &amp; Rates'!$B$99,'Calculator - Basic'!$F$12&lt;'Codes &amp; Rates'!$C$99)),'Calculator - Basic'!$F$13*TIAAHP3_Rate,IF(OR('Calculator - Basic'!$F$8="ERS",AND('Calculator - Basic'!$F$4="Clas",'Calculator - Basic'!$F$8="Not Indicated Yet",'Calculator - Basic'!$F$12&gt;'Codes &amp; Rates'!$B$100)),'Calculator - Basic'!$F$13*TIAAHP4_Rate,0))))</definedName>
    <definedName name="Formula_Changed" localSheetId="2">IF('Calculator - Variance'!$F1='Calculator - Variance'!$G1,"","Changed")</definedName>
    <definedName name="Formula_Dental" localSheetId="1">IF('Calculator - Basic'!$F$6="Vacant - Not Known",'Calculator - Basic'!Formula_Dental2,'Calculator - Basic'!Formula_Dental1)</definedName>
    <definedName name="Formula_Dental" localSheetId="3">IF('Calculator - Multiple Positions'!$I1="Vacant - Not Known",'Calculator - Multiple Positions'!Formula_Dental2,'Calculator - Multiple Positions'!Formula_Dental1)</definedName>
    <definedName name="Formula_Dental" localSheetId="2">IF('Calculator - Variance'!A$6="Vacant - Not Known",'Calculator - Variance'!Formula_Dental2,'Calculator - Variance'!Formula_Dental1)</definedName>
    <definedName name="Formula_Dental1"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Basic'!$F$6,Dental_rates_union,0))*'Calculator - Basic'!CopayFactor1,0)))))</definedName>
    <definedName name="Formula_Dent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Positions'!$I1,Dental_rates_union,0))*'Calculator - Multiple Positions'!CopayFactor1,0)))))</definedName>
    <definedName name="Formula_Dent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Variance'!A$6,Dental_rates_union,0))*'Calculator - Variance'!CopayFactor1,0)))))</definedName>
    <definedName name="Formula_Dental2"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Basic'!$F$4,Dental_rates_union,0))*'Calculator - Basic'!CopayFactor2,0)))))</definedName>
    <definedName name="Formula_Dent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Positions'!$G1,Dental_rates_union,0))*'Calculator - Multiple Positions'!CopayFactor2,0)))))</definedName>
    <definedName name="Formula_Dent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Variance'!A$4,Dental_rates_union,0))*'Calculator - Variance'!CopayFactor2,0)))))</definedName>
    <definedName name="Formula_ERS" localSheetId="1">IF(ISBLANK('Calculator - Basic'!$F$8),"'Ret. plan' needed",IF(ISBLANK('Calculator - Basic'!$F$4),"'Pos. Type' needed",IF(ISTEXT('Calculator - Basic'!$F$13),"Cannot calculate",IF('Calculator - Basic'!$F$8="ERS",ROUND(ERS_rate*'Calculator - Basic'!$F$13,0),IF(AND('Calculator - Basic'!$F$8="Not Indicated Yet",'Calculator - Basic'!$F$4="Clas"),ROUND(ERS_rate*'Calculator - Basic'!$F$13,0),0)))))</definedName>
    <definedName name="Formula_ERS" localSheetId="3">IF(ISBLANK('Calculator - Multiple Positions'!$K1),"'Ret. plan' needed",IF(ISBLANK('Calculator - Multiple Positions'!$G1),"'Pos. Type' needed",IF(ISTEXT('Calculator - Multiple Positions'!$Q1),"Cannot calculate",IF('Calculator - Multiple Positions'!$K1="ERS",ROUND(ERS_rate*'Calculator - Multiple Positions'!$Q1,0),IF(AND('Calculator - Multiple Positions'!$K1="Not Indicated Yet",'Calculator - Multiple Positions'!$G1="Clas"),ROUND(ERS_rate*'Calculator - Multiple Positions'!$Q1,0),0)))))</definedName>
    <definedName name="Formula_ERS" localSheetId="2">IF(ISBLANK('Calculator - Variance'!A$8),"'Ret. plan' needed",IF(ISBLANK('Calculator - Variance'!A$4),"'Pos. Type' needed",IF(ISTEXT('Calculator - Variance'!A$13),"Cannot calculate",IF('Calculator - Variance'!A$8="ERS",ROUND(ERS_rate*'Calculator - Variance'!A$13,0),IF(AND('Calculator - Variance'!A$8="Not Indicated Yet",'Calculator - Variance'!A$4="Clas"),ROUND(ERS_rate*'Calculator - Variance'!A$13,0),0)))))</definedName>
    <definedName name="Formula_ERSRHI" localSheetId="1">IF(ISBLANK('Calculator - Basic'!$F$8),"'Ret. plan' needed",IF(ISBLANK('Calculator - Basic'!$F$4),"'Pos. Type' needed",IF(ISTEXT('Calculator - Basic'!$F$13),"Cannot calculate",IF('Calculator - Basic'!$F$8="ERS",ROUND(ERSRHI_rate*'Calculator - Basic'!$F$13,0),IF(AND('Calculator - Basic'!$F$8="Not Indicated Yet",'Calculator - Basic'!$F$4="Clas"),ROUND(ERSRHI_rate*'Calculator - Basic'!$F$13,0),0)))))</definedName>
    <definedName name="Formula_ERSRHI" localSheetId="3">IF(ISBLANK('Calculator - Multiple Positions'!$K1),"'Ret. plan' needed",IF(ISBLANK('Calculator - Multiple Positions'!$G1),"'Pos. Type' needed",IF(ISTEXT('Calculator - Multiple Positions'!$Q1),"Cannot calculate",IF('Calculator - Multiple Positions'!$K1="ERS",ROUND(ERSRHI_rate*'Calculator - Multiple Positions'!$Q1,0),IF(AND('Calculator - Multiple Positions'!$K1="Not Indicated Yet",'Calculator - Multiple Positions'!$G1="Clas"),ROUND(ERSRHI_rate*'Calculator - Multiple Positions'!$Q1,0),0)))))</definedName>
    <definedName name="Formula_ERSRHI" localSheetId="2">IF(ISBLANK('Calculator - Variance'!A$8),"'Ret. plan' needed",IF(ISBLANK('Calculator - Variance'!A$4),"'Pos. Type' needed",IF(ISTEXT('Calculator - Variance'!A$13),"Cannot calculate",IF('Calculator - Variance'!A$8="ERS",ROUND(ERSRHI_rate*'Calculator - Variance'!A$13,0),IF(AND('Calculator - Variance'!A$8="Not Indicated Yet",'Calculator - Variance'!A$4="Clas"),ROUND(ERSRHI_rate*'Calculator - Variance'!A$13,0),0)))))</definedName>
    <definedName name="Formula_FICA" localSheetId="2">IF(ISTEXT('Calculator - Variance'!A$13),"Cannot calculate",ROUND(Social_Security_Rate*'Calculator - Variance'!A$13,0))</definedName>
    <definedName name="Formula_FICA_Medicare" localSheetId="1">IF(ISTEXT('Calculator - Basic'!$F$13),"Cannot calculate",'Calculator - Basic'!$F$13*Medicare_Rate)</definedName>
    <definedName name="Formula_FICA_Medicare" localSheetId="3">IF(ISTEXT('Calculator - Multiple Positions'!$Q1),"Cannot calculate",ROUND(Medicare_Rate*'Calculator - Multiple Positions'!$Q1,0))</definedName>
    <definedName name="Formula_FICA_Medicare" localSheetId="2">IF(ISTEXT('Calculator - Variance'!A$13),"Cannot calculate",'Calculator - Variance'!A$13*Medicare_Rate)</definedName>
    <definedName name="Formula_FICA_Social_Security" localSheetId="1">IF(ISTEXT('Calculator - Basic'!$F$13),"Cannot calculate",IF('Calculator - Basic'!$F$13&lt;'Codes &amp; Rates'!$A$86,'Calculator - Basic'!$F$13*Social_Security_Rate,'Codes &amp; Rates'!$A$86*Social_Security_Rate))</definedName>
    <definedName name="Formula_FICA_Social_Security" localSheetId="3">IF(ISTEXT('Calculator - Multiple Positions'!$Q1),"Cannot calculate",IF('Calculator - Multiple Positions'!$Q1&lt;'Codes &amp; Rates'!$A$86,'Calculator - Multiple Positions'!$Q1*Social_Security_Rate,'Codes &amp; Rates'!$A$86*Social_Security_Rate))</definedName>
    <definedName name="Formula_FICA_Social_Security" localSheetId="2">IF(ISTEXT('Calculator - Variance'!A$13),"Cannot calculate",IF('Calculator - Variance'!A$13&lt;'Codes &amp; Rates'!$A$86,'Calculator - Variance'!A$13*Social_Security_Rate,'Codes &amp; Rates'!$A$86*Social_Security_Rate))</definedName>
    <definedName name="Formula_heading" localSheetId="1">Current_cycle&amp;" - Fringe Calculator"</definedName>
    <definedName name="Formula_heading" localSheetId="3">Current_cycle&amp;" - Fringe Calculator - Multiple positions"</definedName>
    <definedName name="Formula_heading" localSheetId="2">Current_cycle&amp;" - Fringe Calculator - Variance"</definedName>
    <definedName name="Formula_heading" localSheetId="0">Current_cycle&amp;" - Fringe Calculator - Instructions"</definedName>
    <definedName name="Formula_Medical" localSheetId="1">IF('Calculator - Basic'!$F$6="Vacant - Not Known",'Calculator - Basic'!Formula_Medical2,'Calculator - Basic'!Formula_Medical1)</definedName>
    <definedName name="Formula_Medical" localSheetId="3">IF('Calculator - Multiple Positions'!$I1="Vacant - Not Known",'Calculator - Multiple Positions'!Formula_Medical2,'Calculator - Multiple Positions'!Formula_Medical1)</definedName>
    <definedName name="Formula_Medical" localSheetId="2">IF('Calculator - Variance'!A$6="Vacant - Not Known",'Calculator - Variance'!Formula_Medical2,'Calculator - Variance'!Formula_Medical1)</definedName>
    <definedName name="Formula_Medical1"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Basic'!$F$6,Medical_rates_union,0))*'Calculator - Basic'!CopayFactor1,0)))))</definedName>
    <definedName name="Formula_Medic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Positions'!$I1,Medical_rates_union,0))*'Calculator - Multiple Positions'!CopayFactor1,0)))))</definedName>
    <definedName name="Formula_Medic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Variance'!A$6,Medical_rates_union,0))*'Calculator - Variance'!CopayFactor1,0)))))</definedName>
    <definedName name="Formula_Medical2"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Basic'!$F$4,Medical_rates_union,0))*'Calculator - Basic'!CopayFactor2,0)))))</definedName>
    <definedName name="Formula_Medic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Positions'!$G1,Medical_rates_union,0))*'Calculator - Multiple Positions'!CopayFactor2,0)))))</definedName>
    <definedName name="Formula_Medic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Variance'!A$4,Medical_rates_union,0))*'Calculator - Variance'!CopayFactor2,0)))))</definedName>
    <definedName name="Formula_Payroll_Accrual" localSheetId="1">IF(ISTEXT('Calculator - Basic'!$F$13),"Cannot calculate",Payroll_Accrual_Rate*SUM('Calculator - Basic'!$F$13:$F$19,'Calculator - Basic'!$F$21:$F$22))</definedName>
    <definedName name="Formula_Payroll_Accrual" localSheetId="3">IF(ISTEXT('Calculator - Multiple Positions'!$Q1),"Cannot calculate",Payroll_Accrual_Rate*SUM('Calculator - Multiple Positions'!$Q1:$W1,'Calculator - Multiple Positions'!$Y1:$Z1))</definedName>
    <definedName name="Formula_Payroll_Accrual" localSheetId="2">IF(ISTEXT('Calculator - Variance'!A$13),"Cannot calculate",Payroll_Accrual_Rate*SUM('Calculator - Variance'!A$13:A$19,'Calculator - Variance'!A$21:A$22))</definedName>
    <definedName name="Formula_RHBP" localSheetId="1">IF(ISBLANK('Calculator - Basic'!$F$9),"Participation needed",IF(ISTEXT('Calculator - Basic'!$F$13),"Cannot calculate",IF('Calculator - Basic'!$F$9="Yes",ROUND(RHBP_rate*'Calculator - Basic'!$F$13,0),0)))</definedName>
    <definedName name="Formula_RHBP" localSheetId="3">IF(ISBLANK('Calculator - Multiple Positions'!$L1),"Participation needed",IF(ISTEXT('Calculator - Multiple Positions'!$Q1),"Cannot calculate",IF('Calculator - Multiple Positions'!$L1="Yes",ROUND(RHBP_rate*'Calculator - Multiple Positions'!$Q1,0),0)))</definedName>
    <definedName name="Formula_RHBP" localSheetId="2">IF(ISBLANK('Calculator - Variance'!A$9),"Participation needed",IF(ISTEXT('Calculator - Variance'!A$13),"Cannot calculate",IF('Calculator - Variance'!A$9="Yes",ROUND(RHBP_rate*'Calculator - Variance'!A$13,0),0)))</definedName>
    <definedName name="Formula_SAFB" localSheetId="1">IF(ISBLANK('Calculator - Basic'!$F$6),"'Union' needed",IF(ISTEXT('Calculator - Basic'!$F$13),"Cannot calculate",IF('Calculator - Basic'!$F$6="AAUP",ROUND(SAFB_faculty_rate*'Calculator - Basic'!$F$13,0),ROUND(SAFB_rate*'Calculator - Basic'!$F$13,0))))</definedName>
    <definedName name="Formula_SAFB" localSheetId="3">IF(ISBLANK('Calculator - Multiple Positions'!$I1),"'Union' needed",IF(ISTEXT('Calculator - Multiple Positions'!$Q1),"Cannot calculate",IF('Calculator - Multiple Positions'!$I1="AAUP",ROUND(SAFB_faculty_rate*'Calculator - Multiple Positions'!$Q1,0),ROUND(SAFB_rate*'Calculator - Multiple Positions'!$Q1,0))))</definedName>
    <definedName name="Formula_SAFB" localSheetId="2">IF(ISBLANK('Calculator - Variance'!A$6),"'Union' needed",IF(ISTEXT('Calculator - Variance'!A$13),"Cannot calculate",IF('Calculator - Variance'!A$6="AAUP",ROUND(SAFB_faculty_rate*'Calculator - Variance'!A$13,0),ROUND(SAFB_rate*'Calculator - Variance'!A$13,0))))</definedName>
    <definedName name="Formula_Salary" localSheetId="1">IF(AND(OR(NOT('Calculator - Basic'!$F$10=26.1),NOT('Calculator - Basic'!$F$5=26)),'Calculator - Basic'!$F$5&lt;'Calculator - Basic'!$F$10),"'# of pps' cannot be &lt; 'pos. pps'",IF('Calculator - Basic'!$F$3&lt;0,"Enter a positive salary",IF(ISTEXT('Calculator - Basic'!$F$3),"'Total salary' needed",IF(ISBLANK('Calculator - Basic'!$F$5),"'Pos. pps' needed",IF(ISBLANK('Calculator - Basic'!$F$10),"'Budgeted pps' needed",IF(ISBLANK('Calculator - Basic'!$F$11),"'Budgeted %' needed",IF(ISERROR('Calculator - Basic'!$F$10/'Calculator - Basic'!$F$5),"'Pos. pps' cannot be 0 or blank",ROUND(('Calculator - Basic'!$F$11*'Calculator - Basic'!$F$3)*('Calculator - Basic'!$F$10/'Calculator - Basic'!$F$5),0))))))))</definedName>
    <definedName name="Formula_Salary" localSheetId="3">IF(AND(OR(NOT('Calculator - Multiple Positions'!XFB$7=26.1),NOT('Calculator - Multiple Positions'!XEW$7=26)),'Calculator - Multiple Positions'!$H1&lt;'Calculator - Multiple Positions'!$M1),"'# of pps' cannot be &lt; 'pos. pps'",IF('Calculator - Multiple Positions'!$F1&lt;0,"Enter a positive salary",IF(ISTEXT('Calculator - Multiple Positions'!$F1),"'Total salary' needed",IF(ISBLANK('Calculator - Multiple Positions'!$H1),"'Pos. pps' needed",IF(ISBLANK('Calculator - Multiple Positions'!$M1),"'Budgeted pps' needed",IF(ISBLANK('Calculator - Multiple Positions'!$N1),"'Budgeted %' needed",IF(ISERROR('Calculator - Multiple Positions'!$M1/'Calculator - Multiple Positions'!$H1),"'Pos. pps' cannot be 0 or blank",ROUND(('Calculator - Multiple Positions'!$N1*'Calculator - Multiple Positions'!$F1)*('Calculator - Multiple Positions'!$M1/'Calculator - Multiple Positions'!$H1),0))))))))</definedName>
    <definedName name="Formula_Salary" localSheetId="2">IF(AND(OR(NOT('Calculator - Variance'!A$10=26.1),NOT('Calculator - Variance'!A$5=26)),'Calculator - Variance'!A$5&lt;'Calculator - Variance'!A$10),"'# of pps' cannot be &lt; 'pos. pps'",IF('Calculator - Variance'!A$3&lt;0,"Enter a positive salary",IF(ISTEXT('Calculator - Variance'!A$3),"'Total salary' needed",IF(ISBLANK('Calculator - Variance'!A$5),"'Pos. pps' needed",IF(ISBLANK('Calculator - Variance'!A$10),"'Budgeted pps' needed",IF(ISBLANK('Calculator - Variance'!A$11),"'Budgeted %' needed",IF(ISERROR('Calculator - Variance'!A$10/'Calculator - Variance'!A$5),"'Pos. pps' cannot be 0 or blank",ROUND(('Calculator - Variance'!A$11*'Calculator - Variance'!A$3)*('Calculator - Variance'!A$10/'Calculator - Variance'!A$5),0))))))))</definedName>
    <definedName name="Formula_SBA" localSheetId="1">IF(ISTEXT('Calculator - Basic'!$F$13),"Cannot calculate",ROUND(SBA_rate*'Calculator - Basic'!$F$13,0))</definedName>
    <definedName name="Formula_SBA" localSheetId="3">IF(ISTEXT('Calculator - Multiple Positions'!$Q1),"Cannot calculate",ROUND(SBA_rate*'Calculator - Multiple Positions'!$Q1,0))</definedName>
    <definedName name="Formula_SBA" localSheetId="2">IF(ISTEXT('Calculator - Variance'!A$13),"Cannot calculate",ROUND(SBA_rate*'Calculator - Variance'!A$13,0))</definedName>
    <definedName name="Formula_Subtotal" localSheetId="1">SUM('Calculator - Basic'!A$14:A$27)</definedName>
    <definedName name="Formula_Subtotal" localSheetId="3">SUM('Calculator - Multiple Positions'!$R1:$AE1)</definedName>
    <definedName name="Formula_Subtotal" localSheetId="2">SUM('Calculator - Variance'!A$14:A$27)</definedName>
    <definedName name="Formula_TIAA" localSheetId="1">IF(ISBLANK('Calculator - Basic'!$F$8),"'Ret. plan' needed",IF(ISBLANK('Calculator - Basic'!$F$4),"'Pos. Type' needed",IF(ISTEXT('Calculator - Basic'!$F$13),"Cannot calculate",IF(OR('Calculator - Basic'!$F$8={"TIAA","AIG","FED","MET"}),ROUND(TIAA_rate*'Calculator - Basic'!$F$13,0),IF(AND('Calculator - Basic'!$F$8="Not Indicated Yet",'Calculator - Basic'!$F$4&lt;&gt;"Clas"),ROUND(TIAA_rate*'Calculator - Basic'!$F$13,0),0)))))</definedName>
    <definedName name="Formula_TIAA" localSheetId="3">IF(ISBLANK('Calculator - Multiple Positions'!$K1),"'Ret. plan' needed",IF(ISBLANK('Calculator - Multiple Positions'!$G1),"'Pos. Type' needed",IF(ISTEXT('Calculator - Multiple Positions'!$Q1),"Cannot calculate",IF(OR('Calculator - Multiple Positions'!$K1={"TIAA","AIG","FED","MET"}),ROUND(TIAA_rate*'Calculator - Multiple Positions'!$Q1,0),IF(AND('Calculator - Multiple Positions'!$K1="Not Indicated Yet",'Calculator - Multiple Positions'!$G1&lt;&gt;"Clas"),ROUND(TIAA_rate*'Calculator - Multiple Positions'!$Q1,0),0)))))</definedName>
    <definedName name="Formula_TIAA" localSheetId="2">IF(ISBLANK('Calculator - Variance'!A$8),"'Ret. plan' needed",IF(ISBLANK('Calculator - Variance'!A$4),"'Pos. Type' needed",IF(ISTEXT('Calculator - Variance'!A$13),"Cannot calculate",IF(OR('Calculator - Variance'!A$8={"TIAA","AIG","FED","MET"}),ROUND(TIAA_rate*'Calculator - Variance'!A$13,0),IF(AND('Calculator - Variance'!A$8="Not Indicated Yet",'Calculator - Variance'!A$4&lt;&gt;"Clas"),ROUND(TIAA_rate*'Calculator - Variance'!A$13,0),0)))))</definedName>
    <definedName name="Formula_TIAAHP" localSheetId="1">IF(ISBLANK('Calculator - Basic'!$F$8),"'Ret. plan' needed",IF(ISBLANK('Calculator - Basic'!$F$4),"'Pos. Type' needed",IF(ISTEXT('Calculator - Basic'!$F$13),"Cannot calculate",IF('Calculator - Basic'!$F$8="ERS",ROUND(TIAAHP_rate*'Calculator - Basic'!$F$13,0),IF(AND('Calculator - Basic'!$F$8="Not Indicated Yet",'Calculator - Basic'!$F$4="Clas"),ROUND(TIAAHP_rate*'Calculator - Basic'!$F$13,0),0)))))</definedName>
    <definedName name="Formula_TIAAHP" localSheetId="3">IF(ISBLANK('Calculator - Multiple Positions'!$K1),"'Ret. plan' needed",IF(ISBLANK('Calculator - Multiple Positions'!$G1),"'Pos. Type' needed",IF(ISTEXT('Calculator - Multiple Positions'!$Q1),"Cannot calculate",IF('Calculator - Multiple Positions'!$K1="ERS",ROUND(TIAAHP_rate*'Calculator - Multiple Positions'!$Q1,0),IF(AND('Calculator - Multiple Positions'!$K1="Not Indicated Yet",'Calculator - Multiple Positions'!$G1="Clas"),ROUND(TIAAHP_rate*'Calculator - Multiple Positions'!$Q1,0),0)))))</definedName>
    <definedName name="Formula_TIAAHP" localSheetId="2">IF(ISBLANK('Calculator - Variance'!A$8),"'Ret. plan' needed",IF(ISBLANK('Calculator - Variance'!A$4),"'Pos. Type' needed",IF(ISTEXT('Calculator - Variance'!A$13),"Cannot calculate",IF('Calculator - Variance'!A$8="ERS",ROUND(TIAAHP_rate*'Calculator - Variance'!A$13,0),IF(AND('Calculator - Variance'!A$8="Not Indicated Yet",'Calculator - Variance'!A$4="Clas"),ROUND(TIAAHP_rate*'Calculator - Variance'!A$13,0),0)))))</definedName>
    <definedName name="Formula_TIAAHP_Range" localSheetId="1">IF(AND('Calculator - Basic'!$F$8='Codes &amp; Rates'!$G$69,'Calculator - Basic'!$F$12&lt;'Codes &amp; Rates'!$C$97),'Calculator - Basic'!$F$13*TIAAHP1_Rate,IF(AND('Calculator - Basic'!$F$8='Codes &amp; Rates'!$G$69,'Calculator - Basic'!$F$12&gt;='Codes &amp; Rates'!$B$98,'Calculator - Basic'!$F$12&lt;'Codes &amp; Rates'!$C$98),'Calculator - Basic'!$F$13*TIAAHP2_Rate,IF(AND('Calculator - Basic'!$F$8='Codes &amp; Rates'!$G$69,'Calculator - Basic'!$F$12&gt;='Codes &amp; Rates'!$B$99,'Calculator - Basic'!$F$12&lt;'Codes &amp; Rates'!$C$99),'Calculator - Basic'!$F$13*TIAAHP3_Rate,IF(AND('Calculator - Basic'!$F$8='Codes &amp; Rates'!$G$69,'Calculator - Basic'!$F$12&gt;'Codes &amp; Rates'!$B$100),'Calculator - Basic'!$F$13*TIAAHP4_Rate,0))))</definedName>
    <definedName name="Formula_TIAAHP_Range" localSheetId="3">IF(AND('Calculator - Multiple Positions'!$K1='Codes &amp; Rates'!$G$69,'Calculator - Multiple Positions'!$O1&lt;'Codes &amp; Rates'!$C$97),'Calculator - Multiple Positions'!$Q1*TIAAHP1_Rate,IF(AND('Calculator - Multiple Positions'!$K1='Codes &amp; Rates'!$G$69,'Calculator - Multiple Positions'!$O1&gt;='Codes &amp; Rates'!$B$98,'Calculator - Multiple Positions'!$O1&lt;'Codes &amp; Rates'!$C$98),'Calculator - Multiple Positions'!$Q1*TIAAHP2_Rate,IF(AND('Calculator - Multiple Positions'!$K1='Codes &amp; Rates'!$G$69,'Calculator - Multiple Positions'!$O1&gt;='Codes &amp; Rates'!$B$99,'Calculator - Multiple Positions'!$O1&lt;'Codes &amp; Rates'!$C$99),'Calculator - Multiple Positions'!$Q1*TIAAHP3_Rate,IF(AND('Calculator - Multiple Positions'!$K1='Codes &amp; Rates'!$G$69,'Calculator - Multiple Positions'!$O1&gt;'Codes &amp; Rates'!$B$100),'Calculator - Multiple Positions'!$Q1*TIAAHP4_Rate,0))))</definedName>
    <definedName name="Formula_TIAAHP_Range" localSheetId="2">IF(AND('Calculator - Variance'!A$8='Codes &amp; Rates'!$G$69,'Calculator - Variance'!A$12&lt;'Codes &amp; Rates'!$C$97),'Calculator - Variance'!A$13*TIAAHP1_Rate,IF(AND('Calculator - Variance'!A$8='Codes &amp; Rates'!$G$69,'Calculator - Variance'!A$12&gt;='Codes &amp; Rates'!$B$98,'Calculator - Variance'!A$12&lt;'Codes &amp; Rates'!$C$98),'Calculator - Variance'!A$13*TIAAHP2_Rate,IF(AND('Calculator - Variance'!A$8='Codes &amp; Rates'!$G$69,'Calculator - Variance'!A$12&gt;='Codes &amp; Rates'!$B$99,'Calculator - Variance'!A$12&lt;'Codes &amp; Rates'!$C$99),'Calculator - Variance'!A$13*TIAAHP3_Rate,IF(AND('Calculator - Variance'!A$8='Codes &amp; Rates'!$G$69,'Calculator - Variance'!A$12&gt;'Codes &amp; Rates'!$B$100),'Calculator - Variance'!A$13*TIAAHP4_Rate,0))))</definedName>
    <definedName name="Formula_Total" localSheetId="1">SUM('Calculator - Basic'!A$13,'Calculator - Basic'!A$28)</definedName>
    <definedName name="Formula_Total" localSheetId="3">SUM('Calculator - Multiple Positions'!$Q1,'Calculator - Multiple Positions'!$AF1)</definedName>
    <definedName name="Formula_Total" localSheetId="2">SUM('Calculator - Variance'!A$13,'Calculator - Variance'!A$28)</definedName>
    <definedName name="Formula_Variance" localSheetId="2">IF(OR(ISTEXT('Calculator - Variance'!$F1),ISTEXT('Calculator - Variance'!$G1)),"Cannot calculate",SUM(-'Calculator - Variance'!$F1,'Calculator - Variance'!$G1))</definedName>
    <definedName name="Formula_Vision" localSheetId="1">IF('Calculator - Basic'!$F$6="Vacant - Not Known",'Calculator - Basic'!Formula_Vision2,'Calculator - Basic'!Formula_Vision1)</definedName>
    <definedName name="Formula_Vision" localSheetId="3">IF('Calculator - Multiple Positions'!$I1="Vacant - Not Known",'Calculator - Multiple Positions'!Formula_Vision2,'Calculator - Multiple Positions'!Formula_Vision1)</definedName>
    <definedName name="Formula_Vision" localSheetId="2">IF('Calculator - Variance'!A$6="Vacant - Not Known",'Calculator - Variance'!Formula_Vision2,'Calculator - Variance'!Formula_Vision1)</definedName>
    <definedName name="Formula_Vision1"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Basic'!$F$6,Vision_rates_union,0))*'Calculator - Basic'!CopayFactor1,0)))))</definedName>
    <definedName name="Formula_Vision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Positions'!$I1,Vision_rates_union,0))*'Calculator - Multiple Positions'!CopayFactor1,0)))))</definedName>
    <definedName name="Formula_Vision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Variance'!A$6,Vision_rates_union,0))*'Calculator - Variance'!CopayFactor1,0)))))</definedName>
    <definedName name="Formula_Vision2"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Basic'!$F$4,Vision_rates_union,0))*'Calculator - Basic'!CopayFactor2,0)))))</definedName>
    <definedName name="Formula_Vision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Positions'!$G1,Vision_rates_union,0))*'Calculator - Multiple Positions'!CopayFactor2,0)))))</definedName>
    <definedName name="Formula_Vision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Variance'!A$4,Vision_rates_union,0))*'Calculator - Variance'!CopayFactor2,0)))))</definedName>
    <definedName name="Formula_Waiver" localSheetId="1">IF(ISBLANK('Calculator - Basic'!$F$7),"'Health plan' needed",IF(ISTEXT('Calculator - Basic'!$F$13),"Cannot calculate",IF('Calculator - Basic'!$F$7="Waiver",ROUND(('Calculator - Basic'!$F$10/'Calculator - Basic'!$F$5)*'Calculator - Basic'!$F$11*IF('Calculator - Basic'!$F$4="Clas",WaiverClas_rate,WaiverNonc_rate),0),0)))</definedName>
    <definedName name="Formula_Waiver" localSheetId="3">IF(ISBLANK('Calculator - Multiple Positions'!$J1),"'Health plan' needed",IF(ISTEXT('Calculator - Multiple Positions'!$Q1),"Cannot calculate",IF('Calculator - Multiple Positions'!$J1="Waiver",ROUND(('Calculator - Multiple Positions'!$M1/'Calculator - Multiple Positions'!$H1)*'Calculator - Multiple Positions'!$N1*IF('Calculator - Multiple Positions'!$G1="Clas",WaiverClas_rate,WaiverNonc_rate),0),0)))</definedName>
    <definedName name="Formula_Waiver" localSheetId="2">IF(ISBLANK('Calculator - Variance'!A$7),"'Health plan' needed",IF(ISTEXT('Calculator - Variance'!A$13),"Cannot calculate",IF('Calculator - Variance'!A$7="Waiver",ROUND(('Calculator - Variance'!A$10/'Calculator - Variance'!A$5)*'Calculator - Variance'!A$11*IF('Calculator - Variance'!A$4="Clas",WaiverClas_rate,WaiverNonc_rate),0),0)))</definedName>
    <definedName name="Formula_warning" localSheetId="3">"To maintain formulas integrity, if needed, insert rows only above row # "&amp;ROW(OFFSET('Calculator - Multiple Positions'!$B1,-1,0))&amp;" (by either inserting an empty row and copying formulas, or by copying an entire row from this tab and changing the input data)"</definedName>
    <definedName name="Health_plan_table">'Codes &amp; Rates'!$D$68:$D$75</definedName>
    <definedName name="Individual_copayrates_salary">'Codes &amp; Rates'!$A$44:$A$48</definedName>
    <definedName name="Individual_copayrates_salaryrange">'Codes &amp; Rates'!$A$45:$A$48</definedName>
    <definedName name="Individual_copayrates_table">'Codes &amp; Rates'!$A$44:$P$48</definedName>
    <definedName name="Individual_copayrates_union">'Codes &amp; Rates'!$A$44:$P$44</definedName>
    <definedName name="Instr_basic_calc">Instructions!$A$77:$A$177</definedName>
    <definedName name="Instr_codes_rates">Instructions!$A$299:$A$399</definedName>
    <definedName name="Instr_contact">Instructions!$A$332:$A$432</definedName>
    <definedName name="Instr_gen_info">Instructions!$A$9:$A$110</definedName>
    <definedName name="Instr_multi_calc">Instructions!$A$228:$A$328</definedName>
    <definedName name="instr_top">Instructions!$A$6:$A$107</definedName>
    <definedName name="Instr_var_calc">Instructions!$A$168:$A$218</definedName>
    <definedName name="Medical_rates_plan">'Codes &amp; Rates'!$A$5:$A$13</definedName>
    <definedName name="Medical_rates_table">'Codes &amp; Rates'!$A$5:$P$13</definedName>
    <definedName name="Medical_rates_union">'Codes &amp; Rates'!$A$5:$P$5</definedName>
    <definedName name="Medicare_Rate">'Codes &amp; Rates'!$B$73</definedName>
    <definedName name="Payroll_Accrual_Rate">'Codes &amp; Rates'!$A$91</definedName>
    <definedName name="_xlnm.Print_Area" localSheetId="1">'Calculator - Basic'!$B$1:$F$29</definedName>
    <definedName name="_xlnm.Print_Area" localSheetId="3">'Calculator - Multiple Positions'!$A$1:$AH$28</definedName>
    <definedName name="_xlnm.Print_Area" localSheetId="2">'Calculator - Variance'!$B$1:$H$29</definedName>
    <definedName name="_xlnm.Print_Area" localSheetId="4">'Codes &amp; Rates'!$A$1:$P$82</definedName>
    <definedName name="_xlnm.Print_Area" localSheetId="0">Instructions!$C$10:$AY$74,Instructions!$C$78:$AY$166,Instructions!$C$169:$AY$226,Instructions!$C$229:$AY$297,Instructions!$C$300:$AY$329</definedName>
    <definedName name="_xlnm.Print_Titles" localSheetId="1">'Calculator - Basic'!$B:$E,'Calculator - Basic'!#REF!</definedName>
    <definedName name="_xlnm.Print_Titles" localSheetId="3">'Calculator - Multiple Positions'!$4:$6</definedName>
    <definedName name="_xlnm.Print_Titles" localSheetId="2">'Calculator - Variance'!$B:$E,'Calculator - Variance'!#REF!</definedName>
    <definedName name="_xlnm.Print_Titles" localSheetId="0">Instructions!$1:$2</definedName>
    <definedName name="Retirement_plan_table">'Codes &amp; Rates'!$G$68:$G$77</definedName>
    <definedName name="RHBP_rate">'Codes &amp; Rates'!$B$78</definedName>
    <definedName name="SAFB_faculty_rate">'Codes &amp; Rates'!$B$75</definedName>
    <definedName name="SAFB_rate">'Codes &amp; Rates'!$B$74</definedName>
    <definedName name="SBA_rate">'Codes &amp; Rates'!$B$76</definedName>
    <definedName name="SBAgrad_rate">'Codes &amp; Rates'!$B$77</definedName>
    <definedName name="Social_Security_Rate">'Codes &amp; Rates'!$B$72</definedName>
    <definedName name="TIAA_rate">'Codes &amp; Rates'!$B$71</definedName>
    <definedName name="TIAAHP_rate">'Codes &amp; Rates'!$B$69</definedName>
    <definedName name="TIAAHP1_Rate">'Codes &amp; Rates'!$D$97</definedName>
    <definedName name="TIAAHP2_Rate">'Codes &amp; Rates'!$D$98</definedName>
    <definedName name="TIAAHP3_Rate">'Codes &amp; Rates'!$D$99</definedName>
    <definedName name="TIAAHP4_Rate">'Codes &amp; Rates'!$D$100</definedName>
    <definedName name="Union_table">'Codes &amp; Rates'!$J$68:$J$79</definedName>
    <definedName name="Vision_rates_plan">'Codes &amp; Rates'!$A$31:$A$39</definedName>
    <definedName name="Vision_rates_table">'Codes &amp; Rates'!$A$31:$P$39</definedName>
    <definedName name="Vision_rates_union">'Codes &amp; Rates'!$A$31:$P$31</definedName>
    <definedName name="WaiverClas_rate">'Codes &amp; Rates'!$B$79</definedName>
    <definedName name="WaiverNonc_rate">'Codes &amp; Rates'!$B$80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7" i="12" l="1"/>
  <c r="A60" i="12"/>
  <c r="A48" i="12"/>
  <c r="A59" i="12"/>
  <c r="A58" i="12"/>
  <c r="A56" i="12"/>
  <c r="A55" i="12"/>
  <c r="A54" i="12"/>
  <c r="A47" i="12"/>
  <c r="A46" i="12"/>
  <c r="H12" i="16"/>
  <c r="U8" i="8" l="1"/>
  <c r="U9" i="8"/>
  <c r="U11" i="8"/>
  <c r="U12" i="8"/>
  <c r="U13" i="8"/>
  <c r="U14" i="8"/>
  <c r="U15" i="8"/>
  <c r="U16" i="8"/>
  <c r="U17" i="8"/>
  <c r="U18" i="8"/>
  <c r="U19" i="8"/>
  <c r="U20" i="8"/>
  <c r="U21" i="8"/>
  <c r="U22" i="8"/>
  <c r="U23" i="8"/>
  <c r="U24" i="8"/>
  <c r="U25" i="8"/>
  <c r="U26" i="8"/>
  <c r="U27" i="8"/>
  <c r="F13" i="13" l="1"/>
  <c r="I47" i="12"/>
  <c r="M60" i="12"/>
  <c r="L60" i="12"/>
  <c r="K60" i="12"/>
  <c r="M59" i="12"/>
  <c r="L59" i="12"/>
  <c r="K59" i="12"/>
  <c r="M58" i="12"/>
  <c r="L58" i="12"/>
  <c r="K58" i="12"/>
  <c r="M57" i="12"/>
  <c r="L57" i="12"/>
  <c r="K57" i="12"/>
  <c r="M56" i="12"/>
  <c r="L56" i="12"/>
  <c r="K56" i="12"/>
  <c r="M55" i="12"/>
  <c r="L55" i="12"/>
  <c r="K55" i="12"/>
  <c r="M54" i="12"/>
  <c r="L54" i="12"/>
  <c r="K54" i="12"/>
  <c r="M48" i="12"/>
  <c r="M47" i="12"/>
  <c r="M46" i="12"/>
  <c r="M45" i="12"/>
  <c r="L48" i="12"/>
  <c r="L47" i="12"/>
  <c r="L46" i="12"/>
  <c r="L45" i="12"/>
  <c r="F58" i="12"/>
  <c r="E58" i="12"/>
  <c r="D58" i="12"/>
  <c r="C58" i="12"/>
  <c r="F57" i="12"/>
  <c r="E57" i="12"/>
  <c r="D57" i="12"/>
  <c r="C57" i="12"/>
  <c r="F55" i="12"/>
  <c r="F56" i="12"/>
  <c r="E55" i="12"/>
  <c r="E56" i="12"/>
  <c r="D55" i="12"/>
  <c r="D56" i="12"/>
  <c r="C55" i="12"/>
  <c r="C56" i="12"/>
  <c r="F54" i="12"/>
  <c r="E54" i="12"/>
  <c r="D54" i="12"/>
  <c r="C54" i="12"/>
  <c r="O55" i="12"/>
  <c r="J55" i="12"/>
  <c r="I55" i="12"/>
  <c r="H55" i="12"/>
  <c r="J54" i="12"/>
  <c r="I54" i="12"/>
  <c r="H54" i="12"/>
  <c r="C1" i="17"/>
  <c r="A1" i="8"/>
  <c r="B1" i="16"/>
  <c r="B1" i="13"/>
  <c r="O59" i="12"/>
  <c r="J59" i="12"/>
  <c r="I59" i="12"/>
  <c r="H59" i="12"/>
  <c r="F59" i="12"/>
  <c r="F60" i="12"/>
  <c r="E59" i="12"/>
  <c r="E60" i="12"/>
  <c r="D59" i="12"/>
  <c r="D60" i="12"/>
  <c r="C59" i="12"/>
  <c r="O46" i="12"/>
  <c r="K46" i="12"/>
  <c r="J46" i="12"/>
  <c r="I46" i="12"/>
  <c r="H46" i="12"/>
  <c r="F46" i="12"/>
  <c r="E46" i="12"/>
  <c r="D46" i="12"/>
  <c r="C46" i="12"/>
  <c r="O56" i="12"/>
  <c r="J56" i="12"/>
  <c r="I56" i="12"/>
  <c r="H56" i="12"/>
  <c r="Q7" i="8"/>
  <c r="Q8" i="8"/>
  <c r="Q9" i="8"/>
  <c r="Z9" i="8" s="1"/>
  <c r="Q10" i="8"/>
  <c r="Q11" i="8"/>
  <c r="Y11" i="8" s="1"/>
  <c r="Q12" i="8"/>
  <c r="V12" i="8" s="1"/>
  <c r="Q13" i="8"/>
  <c r="S13" i="8" s="1"/>
  <c r="Q14" i="8"/>
  <c r="X14" i="8" s="1"/>
  <c r="Q15" i="8"/>
  <c r="T15" i="8" s="1"/>
  <c r="Q16" i="8"/>
  <c r="S16" i="8" s="1"/>
  <c r="Q17" i="8"/>
  <c r="Y17" i="8" s="1"/>
  <c r="Q18" i="8"/>
  <c r="R18" i="8" s="1"/>
  <c r="Q19" i="8"/>
  <c r="AE19" i="8" s="1"/>
  <c r="Q20" i="8"/>
  <c r="S20" i="8" s="1"/>
  <c r="Q21" i="8"/>
  <c r="Q22" i="8"/>
  <c r="R22" i="8" s="1"/>
  <c r="Q23" i="8"/>
  <c r="V23" i="8" s="1"/>
  <c r="Q24" i="8"/>
  <c r="W24" i="8" s="1"/>
  <c r="Q25" i="8"/>
  <c r="W25" i="8" s="1"/>
  <c r="Q26" i="8"/>
  <c r="Z26" i="8" s="1"/>
  <c r="Q27" i="8"/>
  <c r="R27" i="8" s="1"/>
  <c r="G7" i="12"/>
  <c r="J7" i="12" s="1"/>
  <c r="H11" i="16"/>
  <c r="H10" i="16"/>
  <c r="H9" i="16"/>
  <c r="H8" i="16"/>
  <c r="H7" i="16"/>
  <c r="H6" i="16"/>
  <c r="H5" i="16"/>
  <c r="H4" i="16"/>
  <c r="H3" i="16"/>
  <c r="G19" i="12"/>
  <c r="K19" i="12" s="1"/>
  <c r="G20" i="12"/>
  <c r="K20" i="12" s="1"/>
  <c r="G22" i="12"/>
  <c r="N22" i="12" s="1"/>
  <c r="O22" i="12" s="1"/>
  <c r="G23" i="12"/>
  <c r="N23" i="12" s="1"/>
  <c r="O23" i="12" s="1"/>
  <c r="G25" i="12"/>
  <c r="M25" i="12" s="1"/>
  <c r="G26" i="12"/>
  <c r="N26" i="12" s="1"/>
  <c r="O26" i="12" s="1"/>
  <c r="G6" i="12"/>
  <c r="K6" i="12" s="1"/>
  <c r="G8" i="12"/>
  <c r="L8" i="12" s="1"/>
  <c r="G9" i="12"/>
  <c r="K9" i="12" s="1"/>
  <c r="G10" i="12"/>
  <c r="L10" i="12" s="1"/>
  <c r="G12" i="12"/>
  <c r="H12" i="12" s="1"/>
  <c r="G13" i="12"/>
  <c r="H13" i="12" s="1"/>
  <c r="P18" i="8"/>
  <c r="P19" i="8"/>
  <c r="P10" i="8"/>
  <c r="P11" i="8"/>
  <c r="P12" i="8"/>
  <c r="G13" i="16"/>
  <c r="G17" i="16" s="1"/>
  <c r="F13" i="16"/>
  <c r="F14" i="16" s="1"/>
  <c r="C6" i="12"/>
  <c r="E31" i="17"/>
  <c r="P15" i="8"/>
  <c r="P14" i="8"/>
  <c r="P13" i="8"/>
  <c r="P9" i="8"/>
  <c r="P8" i="8"/>
  <c r="P7" i="8"/>
  <c r="C13" i="16"/>
  <c r="A29" i="8"/>
  <c r="O54" i="12"/>
  <c r="O57" i="12"/>
  <c r="O58" i="12"/>
  <c r="O60" i="12"/>
  <c r="J57" i="12"/>
  <c r="J58" i="12"/>
  <c r="J60" i="12"/>
  <c r="I57" i="12"/>
  <c r="I58" i="12"/>
  <c r="I60" i="12"/>
  <c r="H57" i="12"/>
  <c r="K45" i="12"/>
  <c r="K47" i="12"/>
  <c r="K48" i="12"/>
  <c r="J45" i="12"/>
  <c r="J47" i="12"/>
  <c r="J48" i="12"/>
  <c r="I45" i="12"/>
  <c r="I48" i="12"/>
  <c r="C60" i="12"/>
  <c r="F45" i="12"/>
  <c r="F47" i="12"/>
  <c r="E45" i="12"/>
  <c r="E47" i="12"/>
  <c r="D45" i="12"/>
  <c r="D47" i="12"/>
  <c r="F39" i="12"/>
  <c r="E39" i="12"/>
  <c r="D39" i="12"/>
  <c r="C39" i="12"/>
  <c r="F38" i="12"/>
  <c r="E38" i="12"/>
  <c r="D38" i="12"/>
  <c r="C38" i="12"/>
  <c r="F36" i="12"/>
  <c r="E36" i="12"/>
  <c r="D36" i="12"/>
  <c r="C36" i="12"/>
  <c r="F35" i="12"/>
  <c r="E35" i="12"/>
  <c r="D35" i="12"/>
  <c r="C35" i="12"/>
  <c r="F33" i="12"/>
  <c r="E33" i="12"/>
  <c r="D33" i="12"/>
  <c r="C33" i="12"/>
  <c r="F32" i="12"/>
  <c r="E32" i="12"/>
  <c r="D32" i="12"/>
  <c r="C32" i="12"/>
  <c r="F26" i="12"/>
  <c r="E26" i="12"/>
  <c r="D26" i="12"/>
  <c r="C26" i="12"/>
  <c r="F25" i="12"/>
  <c r="E25" i="12"/>
  <c r="D25" i="12"/>
  <c r="C25" i="12"/>
  <c r="F23" i="12"/>
  <c r="E23" i="12"/>
  <c r="D23" i="12"/>
  <c r="C23" i="12"/>
  <c r="F22" i="12"/>
  <c r="E22" i="12"/>
  <c r="D22" i="12"/>
  <c r="C22" i="12"/>
  <c r="F20" i="12"/>
  <c r="E20" i="12"/>
  <c r="D20" i="12"/>
  <c r="C20" i="12"/>
  <c r="F19" i="12"/>
  <c r="E19" i="12"/>
  <c r="D19" i="12"/>
  <c r="C19" i="12"/>
  <c r="F13" i="12"/>
  <c r="E13" i="12"/>
  <c r="D13" i="12"/>
  <c r="C13" i="12"/>
  <c r="F12" i="12"/>
  <c r="E12" i="12"/>
  <c r="D12" i="12"/>
  <c r="C12" i="12"/>
  <c r="F10" i="12"/>
  <c r="E10" i="12"/>
  <c r="D10" i="12"/>
  <c r="C10" i="12"/>
  <c r="F9" i="12"/>
  <c r="E9" i="12"/>
  <c r="D9" i="12"/>
  <c r="C9" i="12"/>
  <c r="F8" i="12"/>
  <c r="E8" i="12"/>
  <c r="D8" i="12"/>
  <c r="C8" i="12"/>
  <c r="F7" i="12"/>
  <c r="E7" i="12"/>
  <c r="D7" i="12"/>
  <c r="C7" i="12"/>
  <c r="F6" i="12"/>
  <c r="E6" i="12"/>
  <c r="D6" i="12"/>
  <c r="O45" i="12"/>
  <c r="O47" i="12"/>
  <c r="O48" i="12"/>
  <c r="H45" i="12"/>
  <c r="H47" i="12"/>
  <c r="H48" i="12"/>
  <c r="C45" i="12"/>
  <c r="C47" i="12"/>
  <c r="G39" i="12"/>
  <c r="H39" i="12" s="1"/>
  <c r="G38" i="12"/>
  <c r="K38" i="12" s="1"/>
  <c r="G37" i="12"/>
  <c r="L37" i="12" s="1"/>
  <c r="G36" i="12"/>
  <c r="G35" i="12"/>
  <c r="J35" i="12" s="1"/>
  <c r="C34" i="12"/>
  <c r="G33" i="12"/>
  <c r="K33" i="12" s="1"/>
  <c r="G32" i="12"/>
  <c r="L32" i="12" s="1"/>
  <c r="C21" i="12"/>
  <c r="G11" i="12"/>
  <c r="M11" i="12" s="1"/>
  <c r="D37" i="12"/>
  <c r="C13" i="13"/>
  <c r="P27" i="8"/>
  <c r="P26" i="8"/>
  <c r="P25" i="8"/>
  <c r="P24" i="8"/>
  <c r="P23" i="8"/>
  <c r="P22" i="8"/>
  <c r="P21" i="8"/>
  <c r="P20" i="8"/>
  <c r="P17" i="8"/>
  <c r="P16" i="8"/>
  <c r="C11" i="12"/>
  <c r="F11" i="12"/>
  <c r="C37" i="12"/>
  <c r="F24" i="12"/>
  <c r="D11" i="12"/>
  <c r="E24" i="12"/>
  <c r="E11" i="12"/>
  <c r="E34" i="12"/>
  <c r="D34" i="12"/>
  <c r="C24" i="12"/>
  <c r="G24" i="12"/>
  <c r="J24" i="12" s="1"/>
  <c r="G34" i="12"/>
  <c r="I34" i="12" s="1"/>
  <c r="F34" i="12"/>
  <c r="F37" i="12"/>
  <c r="D24" i="12"/>
  <c r="E37" i="12"/>
  <c r="H58" i="12"/>
  <c r="H60" i="12"/>
  <c r="E48" i="12"/>
  <c r="D48" i="12"/>
  <c r="F48" i="12"/>
  <c r="C48" i="12"/>
  <c r="D21" i="12"/>
  <c r="F21" i="12"/>
  <c r="G21" i="12"/>
  <c r="K21" i="12" s="1"/>
  <c r="E21" i="12"/>
  <c r="L38" i="12"/>
  <c r="I32" i="12"/>
  <c r="M33" i="12"/>
  <c r="M39" i="12" l="1"/>
  <c r="N13" i="12"/>
  <c r="O13" i="12" s="1"/>
  <c r="H38" i="12"/>
  <c r="I39" i="12"/>
  <c r="Z20" i="8"/>
  <c r="L22" i="12"/>
  <c r="I22" i="12"/>
  <c r="I8" i="12"/>
  <c r="K8" i="12"/>
  <c r="M8" i="12"/>
  <c r="J12" i="12"/>
  <c r="M32" i="12"/>
  <c r="I35" i="12"/>
  <c r="N8" i="12"/>
  <c r="O8" i="12" s="1"/>
  <c r="N12" i="12"/>
  <c r="O12" i="12" s="1"/>
  <c r="K12" i="12"/>
  <c r="L12" i="12"/>
  <c r="H8" i="12"/>
  <c r="J8" i="12"/>
  <c r="I12" i="12"/>
  <c r="N37" i="12"/>
  <c r="O37" i="12" s="1"/>
  <c r="I19" i="12"/>
  <c r="AB21" i="8"/>
  <c r="H7" i="12"/>
  <c r="K35" i="12"/>
  <c r="K39" i="12"/>
  <c r="H33" i="12"/>
  <c r="L39" i="12"/>
  <c r="N39" i="12"/>
  <c r="O39" i="12" s="1"/>
  <c r="L13" i="12"/>
  <c r="H35" i="12"/>
  <c r="J39" i="12"/>
  <c r="M23" i="12"/>
  <c r="L23" i="12"/>
  <c r="J6" i="12"/>
  <c r="L6" i="12"/>
  <c r="M6" i="12"/>
  <c r="H6" i="12"/>
  <c r="M7" i="12"/>
  <c r="L7" i="12"/>
  <c r="I10" i="12"/>
  <c r="K32" i="12"/>
  <c r="N6" i="12"/>
  <c r="O6" i="12" s="1"/>
  <c r="J26" i="12"/>
  <c r="N19" i="12"/>
  <c r="O19" i="12" s="1"/>
  <c r="I37" i="12"/>
  <c r="L34" i="12"/>
  <c r="I6" i="12"/>
  <c r="M12" i="12"/>
  <c r="K23" i="12"/>
  <c r="J10" i="12"/>
  <c r="K26" i="12"/>
  <c r="J11" i="12"/>
  <c r="M26" i="12"/>
  <c r="N10" i="12"/>
  <c r="O10" i="12" s="1"/>
  <c r="H10" i="12"/>
  <c r="L25" i="12"/>
  <c r="I26" i="12"/>
  <c r="L26" i="12"/>
  <c r="I9" i="12"/>
  <c r="I23" i="12"/>
  <c r="H26" i="12"/>
  <c r="M19" i="12"/>
  <c r="L35" i="12"/>
  <c r="N35" i="12"/>
  <c r="O35" i="12" s="1"/>
  <c r="M35" i="12"/>
  <c r="L33" i="12"/>
  <c r="J33" i="12"/>
  <c r="I24" i="12"/>
  <c r="M22" i="12"/>
  <c r="H22" i="12"/>
  <c r="V24" i="8"/>
  <c r="X11" i="8"/>
  <c r="W27" i="8"/>
  <c r="T27" i="8"/>
  <c r="R23" i="8"/>
  <c r="X23" i="8"/>
  <c r="AC20" i="8"/>
  <c r="T11" i="8"/>
  <c r="M37" i="12"/>
  <c r="J34" i="12"/>
  <c r="K34" i="12"/>
  <c r="H34" i="12"/>
  <c r="M34" i="12"/>
  <c r="N33" i="12"/>
  <c r="O33" i="12" s="1"/>
  <c r="I33" i="12"/>
  <c r="AB27" i="8"/>
  <c r="M24" i="12"/>
  <c r="L24" i="12"/>
  <c r="N24" i="12"/>
  <c r="O24" i="12" s="1"/>
  <c r="K24" i="12"/>
  <c r="H24" i="12"/>
  <c r="J21" i="12"/>
  <c r="H21" i="12"/>
  <c r="L21" i="12"/>
  <c r="N21" i="12"/>
  <c r="O21" i="12" s="1"/>
  <c r="M21" i="12"/>
  <c r="L20" i="12"/>
  <c r="H20" i="12"/>
  <c r="H11" i="12"/>
  <c r="L11" i="12"/>
  <c r="AA11" i="8"/>
  <c r="I11" i="12"/>
  <c r="K11" i="12"/>
  <c r="N11" i="12"/>
  <c r="O11" i="12" s="1"/>
  <c r="M9" i="12"/>
  <c r="L9" i="12"/>
  <c r="N9" i="12"/>
  <c r="O9" i="12" s="1"/>
  <c r="H9" i="12"/>
  <c r="J9" i="12"/>
  <c r="N7" i="12"/>
  <c r="O7" i="12" s="1"/>
  <c r="I7" i="12"/>
  <c r="K7" i="12"/>
  <c r="F19" i="13"/>
  <c r="F17" i="13"/>
  <c r="W10" i="8"/>
  <c r="U10" i="8"/>
  <c r="F20" i="13"/>
  <c r="F21" i="13"/>
  <c r="F16" i="13"/>
  <c r="F26" i="13"/>
  <c r="F23" i="13"/>
  <c r="Z7" i="8"/>
  <c r="U7" i="8"/>
  <c r="T24" i="8"/>
  <c r="Y20" i="8"/>
  <c r="AA24" i="8"/>
  <c r="T20" i="8"/>
  <c r="Z12" i="8"/>
  <c r="AE16" i="8"/>
  <c r="R20" i="8"/>
  <c r="T13" i="8"/>
  <c r="W16" i="8"/>
  <c r="Z16" i="8"/>
  <c r="X24" i="8"/>
  <c r="AE20" i="8"/>
  <c r="AA20" i="8"/>
  <c r="W20" i="8"/>
  <c r="R25" i="8"/>
  <c r="AB18" i="8"/>
  <c r="W18" i="8"/>
  <c r="AA14" i="8"/>
  <c r="T17" i="8"/>
  <c r="V17" i="8"/>
  <c r="AC14" i="8"/>
  <c r="S14" i="8"/>
  <c r="Z14" i="8"/>
  <c r="AE14" i="8"/>
  <c r="Y24" i="8"/>
  <c r="AA16" i="8"/>
  <c r="Z24" i="8"/>
  <c r="X16" i="8"/>
  <c r="AB22" i="8"/>
  <c r="V15" i="8"/>
  <c r="V16" i="8"/>
  <c r="Y9" i="8"/>
  <c r="AE24" i="8"/>
  <c r="V8" i="8"/>
  <c r="AB16" i="8"/>
  <c r="AB24" i="8"/>
  <c r="W22" i="8"/>
  <c r="T22" i="8"/>
  <c r="Z22" i="8"/>
  <c r="R16" i="8"/>
  <c r="AC22" i="8"/>
  <c r="AE22" i="8"/>
  <c r="V22" i="8"/>
  <c r="AC18" i="8"/>
  <c r="Z27" i="8"/>
  <c r="T16" i="8"/>
  <c r="R24" i="8"/>
  <c r="S22" i="8"/>
  <c r="Y18" i="8"/>
  <c r="S18" i="8"/>
  <c r="S26" i="8"/>
  <c r="AA26" i="8"/>
  <c r="AA12" i="8"/>
  <c r="V18" i="8"/>
  <c r="T18" i="8"/>
  <c r="X26" i="8"/>
  <c r="R26" i="8"/>
  <c r="V26" i="8"/>
  <c r="Y26" i="8"/>
  <c r="AE18" i="8"/>
  <c r="X18" i="8"/>
  <c r="W12" i="8"/>
  <c r="AC12" i="8"/>
  <c r="AE26" i="8"/>
  <c r="T12" i="8"/>
  <c r="T7" i="8"/>
  <c r="AE7" i="8"/>
  <c r="Y25" i="8"/>
  <c r="V25" i="8"/>
  <c r="T25" i="8"/>
  <c r="X25" i="8"/>
  <c r="AE25" i="8"/>
  <c r="AA17" i="8"/>
  <c r="AE17" i="8"/>
  <c r="S17" i="8"/>
  <c r="AC7" i="8"/>
  <c r="Y7" i="8"/>
  <c r="V7" i="8"/>
  <c r="X7" i="8"/>
  <c r="R7" i="8"/>
  <c r="AA27" i="8"/>
  <c r="AE27" i="8"/>
  <c r="X19" i="8"/>
  <c r="AA19" i="8"/>
  <c r="AB19" i="8"/>
  <c r="V19" i="8"/>
  <c r="R10" i="8"/>
  <c r="AB10" i="8"/>
  <c r="V10" i="8"/>
  <c r="AE10" i="8"/>
  <c r="T10" i="8"/>
  <c r="R19" i="8"/>
  <c r="AA7" i="8"/>
  <c r="AB25" i="8"/>
  <c r="S19" i="8"/>
  <c r="R17" i="8"/>
  <c r="Y27" i="8"/>
  <c r="AE21" i="8"/>
  <c r="X21" i="8"/>
  <c r="V21" i="8"/>
  <c r="R21" i="8"/>
  <c r="S21" i="8"/>
  <c r="W21" i="8"/>
  <c r="AE13" i="8"/>
  <c r="Y13" i="8"/>
  <c r="AB13" i="8"/>
  <c r="X13" i="8"/>
  <c r="V13" i="8"/>
  <c r="AB17" i="8"/>
  <c r="X27" i="8"/>
  <c r="Z13" i="8"/>
  <c r="Z25" i="8"/>
  <c r="AA25" i="8"/>
  <c r="S7" i="8"/>
  <c r="T19" i="8"/>
  <c r="Y23" i="8"/>
  <c r="AB23" i="8"/>
  <c r="T23" i="8"/>
  <c r="W23" i="8"/>
  <c r="S15" i="8"/>
  <c r="W15" i="8"/>
  <c r="Y15" i="8"/>
  <c r="R15" i="8"/>
  <c r="AE15" i="8"/>
  <c r="AB15" i="8"/>
  <c r="AC15" i="8"/>
  <c r="Z15" i="8"/>
  <c r="AA15" i="8"/>
  <c r="X15" i="8"/>
  <c r="Z18" i="8"/>
  <c r="AB8" i="8"/>
  <c r="Y16" i="8"/>
  <c r="AB26" i="8"/>
  <c r="X20" i="8"/>
  <c r="AA18" i="8"/>
  <c r="AE11" i="8"/>
  <c r="V20" i="8"/>
  <c r="W8" i="8"/>
  <c r="Y22" i="8"/>
  <c r="AA22" i="8"/>
  <c r="W14" i="8"/>
  <c r="AB20" i="8"/>
  <c r="W26" i="8"/>
  <c r="T26" i="8"/>
  <c r="S24" i="8"/>
  <c r="X22" i="8"/>
  <c r="AB7" i="8"/>
  <c r="W7" i="8"/>
  <c r="Q3" i="8"/>
  <c r="Y12" i="8"/>
  <c r="X12" i="8"/>
  <c r="AE12" i="8"/>
  <c r="R12" i="8"/>
  <c r="S12" i="8"/>
  <c r="AB12" i="8"/>
  <c r="F23" i="16"/>
  <c r="G25" i="16"/>
  <c r="F17" i="16"/>
  <c r="H17" i="16" s="1"/>
  <c r="G20" i="16"/>
  <c r="G26" i="16"/>
  <c r="G22" i="16"/>
  <c r="G16" i="16"/>
  <c r="G19" i="16"/>
  <c r="G24" i="16"/>
  <c r="G21" i="16"/>
  <c r="G23" i="16"/>
  <c r="G18" i="16"/>
  <c r="G14" i="16"/>
  <c r="H14" i="16" s="1"/>
  <c r="G15" i="16"/>
  <c r="F16" i="16"/>
  <c r="F18" i="16"/>
  <c r="F21" i="16"/>
  <c r="F15" i="16"/>
  <c r="F25" i="16"/>
  <c r="F22" i="16"/>
  <c r="F24" i="16"/>
  <c r="L36" i="12"/>
  <c r="I36" i="12"/>
  <c r="M36" i="12"/>
  <c r="K36" i="12"/>
  <c r="H36" i="12"/>
  <c r="K25" i="12"/>
  <c r="J25" i="12"/>
  <c r="H25" i="12"/>
  <c r="S9" i="8"/>
  <c r="AE9" i="8"/>
  <c r="R9" i="8"/>
  <c r="T9" i="8"/>
  <c r="N25" i="12"/>
  <c r="O25" i="12" s="1"/>
  <c r="AC26" i="8"/>
  <c r="AC24" i="8"/>
  <c r="R14" i="8"/>
  <c r="V14" i="8"/>
  <c r="AB14" i="8"/>
  <c r="T14" i="8"/>
  <c r="W11" i="8"/>
  <c r="V11" i="8"/>
  <c r="T8" i="8"/>
  <c r="AA8" i="8"/>
  <c r="F15" i="13"/>
  <c r="F18" i="13"/>
  <c r="AE8" i="8"/>
  <c r="Z8" i="8"/>
  <c r="AA9" i="8"/>
  <c r="AC9" i="8"/>
  <c r="AC8" i="8"/>
  <c r="R11" i="8"/>
  <c r="Y8" i="8"/>
  <c r="AB11" i="8"/>
  <c r="V9" i="8"/>
  <c r="S8" i="8"/>
  <c r="J37" i="12"/>
  <c r="I25" i="12"/>
  <c r="N36" i="12"/>
  <c r="O36" i="12" s="1"/>
  <c r="Y14" i="8"/>
  <c r="J20" i="12"/>
  <c r="N32" i="12"/>
  <c r="O32" i="12" s="1"/>
  <c r="J32" i="12"/>
  <c r="I38" i="12"/>
  <c r="N38" i="12"/>
  <c r="O38" i="12" s="1"/>
  <c r="J38" i="12"/>
  <c r="F26" i="16"/>
  <c r="F20" i="16"/>
  <c r="I13" i="12"/>
  <c r="J13" i="12"/>
  <c r="K13" i="12"/>
  <c r="L19" i="12"/>
  <c r="H19" i="12"/>
  <c r="F14" i="13"/>
  <c r="F22" i="13"/>
  <c r="H13" i="16"/>
  <c r="AC16" i="8"/>
  <c r="X9" i="8"/>
  <c r="W9" i="8"/>
  <c r="R8" i="8"/>
  <c r="AC27" i="8"/>
  <c r="AC11" i="8"/>
  <c r="Z11" i="8"/>
  <c r="X8" i="8"/>
  <c r="S11" i="8"/>
  <c r="AC17" i="8"/>
  <c r="F19" i="16"/>
  <c r="AB9" i="8"/>
  <c r="I21" i="12"/>
  <c r="J19" i="12"/>
  <c r="K10" i="12"/>
  <c r="M10" i="12"/>
  <c r="K37" i="12"/>
  <c r="M13" i="12"/>
  <c r="H37" i="12"/>
  <c r="H32" i="12"/>
  <c r="N20" i="12"/>
  <c r="O20" i="12" s="1"/>
  <c r="M20" i="12"/>
  <c r="N34" i="12"/>
  <c r="O34" i="12" s="1"/>
  <c r="M38" i="12"/>
  <c r="J23" i="12"/>
  <c r="F24" i="13" s="1"/>
  <c r="H23" i="12"/>
  <c r="I20" i="12"/>
  <c r="J36" i="12"/>
  <c r="F25" i="13" s="1"/>
  <c r="J22" i="12"/>
  <c r="K22" i="12"/>
  <c r="S27" i="8"/>
  <c r="V27" i="8"/>
  <c r="S25" i="8"/>
  <c r="AC25" i="8"/>
  <c r="S23" i="8"/>
  <c r="AA23" i="8"/>
  <c r="Z23" i="8"/>
  <c r="AE23" i="8"/>
  <c r="AC23" i="8"/>
  <c r="Y21" i="8"/>
  <c r="Z21" i="8"/>
  <c r="AC21" i="8"/>
  <c r="AA21" i="8"/>
  <c r="T21" i="8"/>
  <c r="Y19" i="8"/>
  <c r="Z19" i="8"/>
  <c r="AC19" i="8"/>
  <c r="W19" i="8"/>
  <c r="W17" i="8"/>
  <c r="X17" i="8"/>
  <c r="Z17" i="8"/>
  <c r="AC13" i="8"/>
  <c r="W13" i="8"/>
  <c r="R13" i="8"/>
  <c r="AA13" i="8"/>
  <c r="S10" i="8"/>
  <c r="X10" i="8"/>
  <c r="AA10" i="8"/>
  <c r="AC10" i="8"/>
  <c r="Y10" i="8"/>
  <c r="Z10" i="8"/>
  <c r="AD12" i="8" l="1"/>
  <c r="AF12" i="8" s="1"/>
  <c r="AG12" i="8" s="1"/>
  <c r="AD11" i="8"/>
  <c r="AF11" i="8" s="1"/>
  <c r="AG11" i="8" s="1"/>
  <c r="AD13" i="8"/>
  <c r="AF13" i="8" s="1"/>
  <c r="AG13" i="8" s="1"/>
  <c r="AD16" i="8"/>
  <c r="AF16" i="8" s="1"/>
  <c r="AG16" i="8" s="1"/>
  <c r="G27" i="16"/>
  <c r="G28" i="16" s="1"/>
  <c r="G29" i="16" s="1"/>
  <c r="AD15" i="8"/>
  <c r="AF15" i="8" s="1"/>
  <c r="AG15" i="8" s="1"/>
  <c r="AD19" i="8"/>
  <c r="AF19" i="8" s="1"/>
  <c r="AG19" i="8" s="1"/>
  <c r="AD25" i="8"/>
  <c r="AF25" i="8" s="1"/>
  <c r="AG25" i="8" s="1"/>
  <c r="AD20" i="8"/>
  <c r="AF20" i="8" s="1"/>
  <c r="AG20" i="8" s="1"/>
  <c r="AD18" i="8"/>
  <c r="AF18" i="8" s="1"/>
  <c r="AG18" i="8" s="1"/>
  <c r="AD7" i="8"/>
  <c r="AF7" i="8" s="1"/>
  <c r="AG7" i="8" s="1"/>
  <c r="AD23" i="8"/>
  <c r="AF23" i="8" s="1"/>
  <c r="AG23" i="8" s="1"/>
  <c r="AD21" i="8"/>
  <c r="AF21" i="8" s="1"/>
  <c r="AG21" i="8" s="1"/>
  <c r="AD22" i="8"/>
  <c r="AF22" i="8" s="1"/>
  <c r="AG22" i="8" s="1"/>
  <c r="AD26" i="8"/>
  <c r="AF26" i="8" s="1"/>
  <c r="AG26" i="8" s="1"/>
  <c r="AD17" i="8"/>
  <c r="AF17" i="8" s="1"/>
  <c r="AG17" i="8" s="1"/>
  <c r="AD9" i="8"/>
  <c r="AF9" i="8" s="1"/>
  <c r="AG9" i="8" s="1"/>
  <c r="AD24" i="8"/>
  <c r="AF24" i="8" s="1"/>
  <c r="AG24" i="8" s="1"/>
  <c r="AD8" i="8"/>
  <c r="AF8" i="8" s="1"/>
  <c r="AD27" i="8"/>
  <c r="AF27" i="8" s="1"/>
  <c r="AG27" i="8" s="1"/>
  <c r="F27" i="16"/>
  <c r="F28" i="16" s="1"/>
  <c r="AD14" i="8"/>
  <c r="AF14" i="8" s="1"/>
  <c r="AG14" i="8" s="1"/>
  <c r="F27" i="13"/>
  <c r="H15" i="16"/>
  <c r="H23" i="16"/>
  <c r="H20" i="16"/>
  <c r="H25" i="16"/>
  <c r="W3" i="8"/>
  <c r="T3" i="8"/>
  <c r="AC3" i="8"/>
  <c r="AB3" i="8"/>
  <c r="V3" i="8"/>
  <c r="H22" i="16"/>
  <c r="H18" i="16"/>
  <c r="H26" i="16"/>
  <c r="H24" i="16"/>
  <c r="H21" i="16"/>
  <c r="H19" i="16"/>
  <c r="H16" i="16"/>
  <c r="Z3" i="8"/>
  <c r="AE3" i="8"/>
  <c r="X3" i="8"/>
  <c r="R3" i="8"/>
  <c r="Y3" i="8"/>
  <c r="AA3" i="8"/>
  <c r="S3" i="8"/>
  <c r="U3" i="8"/>
  <c r="F28" i="13" l="1"/>
  <c r="F29" i="13" s="1"/>
  <c r="H27" i="16"/>
  <c r="AD10" i="8"/>
  <c r="AD3" i="8" s="1"/>
  <c r="AG8" i="8"/>
  <c r="F29" i="16"/>
  <c r="H29" i="16" s="1"/>
  <c r="H28" i="16"/>
  <c r="AF10" i="8" l="1"/>
  <c r="AG10" i="8" l="1"/>
  <c r="AG3" i="8" s="1"/>
  <c r="AF3" i="8"/>
</calcChain>
</file>

<file path=xl/sharedStrings.xml><?xml version="1.0" encoding="utf-8"?>
<sst xmlns="http://schemas.openxmlformats.org/spreadsheetml/2006/main" count="577" uniqueCount="244">
  <si>
    <t>SBA (grads)</t>
  </si>
  <si>
    <t>5293</t>
  </si>
  <si>
    <t>Union_table</t>
  </si>
  <si>
    <t>Vacant - Funded</t>
  </si>
  <si>
    <t>Health_plan_table</t>
  </si>
  <si>
    <t>Exempt</t>
  </si>
  <si>
    <t>FED</t>
  </si>
  <si>
    <t>Retirement_plan_table</t>
  </si>
  <si>
    <t>Other Fringe rates</t>
  </si>
  <si>
    <t>FACU</t>
  </si>
  <si>
    <t>Family_copayrates_table</t>
  </si>
  <si>
    <t>Individual_copayrates_table</t>
  </si>
  <si>
    <t>Vision_rates_table</t>
  </si>
  <si>
    <t>Dental_rates_table</t>
  </si>
  <si>
    <t>Medical_rates_table</t>
  </si>
  <si>
    <t>MPA</t>
  </si>
  <si>
    <t>Not Eligible</t>
  </si>
  <si>
    <t>5218</t>
  </si>
  <si>
    <t>5280</t>
  </si>
  <si>
    <t>5281</t>
  </si>
  <si>
    <t>5283</t>
  </si>
  <si>
    <t>5286</t>
  </si>
  <si>
    <t>5289</t>
  </si>
  <si>
    <t>5295</t>
  </si>
  <si>
    <t>URIP</t>
  </si>
  <si>
    <t>Vacant - Not Known</t>
  </si>
  <si>
    <t>Vacant - Not Funded</t>
  </si>
  <si>
    <t>Not Funded</t>
  </si>
  <si>
    <t>Individual</t>
  </si>
  <si>
    <t>NUCL</t>
  </si>
  <si>
    <t>Nonc</t>
  </si>
  <si>
    <t>TIAA</t>
  </si>
  <si>
    <t>PSA</t>
  </si>
  <si>
    <t>NUNC</t>
  </si>
  <si>
    <t>ERS</t>
  </si>
  <si>
    <t>Family</t>
  </si>
  <si>
    <t>ACT</t>
  </si>
  <si>
    <t>PTAA</t>
  </si>
  <si>
    <t>AIG</t>
  </si>
  <si>
    <t>Not Indicated Yet</t>
  </si>
  <si>
    <t>L528</t>
  </si>
  <si>
    <t>AAUP</t>
  </si>
  <si>
    <t>MET</t>
  </si>
  <si>
    <t>WAIVER</t>
  </si>
  <si>
    <t>VISION</t>
  </si>
  <si>
    <t>DENTAL</t>
  </si>
  <si>
    <t>MEDICAL</t>
  </si>
  <si>
    <t>SBA</t>
  </si>
  <si>
    <t>SAFB</t>
  </si>
  <si>
    <t>FICA</t>
  </si>
  <si>
    <t>Retirement Plan</t>
  </si>
  <si>
    <t>Health Plan</t>
  </si>
  <si>
    <t>Union</t>
  </si>
  <si>
    <t>Budgeted Account</t>
  </si>
  <si>
    <t>Name</t>
  </si>
  <si>
    <t>Position Title</t>
  </si>
  <si>
    <t>State Position #</t>
  </si>
  <si>
    <t>PS Position #</t>
  </si>
  <si>
    <t>Subtotals =&gt;</t>
  </si>
  <si>
    <t>Waiver</t>
  </si>
  <si>
    <t>NONC</t>
  </si>
  <si>
    <t>CLAS</t>
  </si>
  <si>
    <t>NURS</t>
  </si>
  <si>
    <t>NUFA</t>
  </si>
  <si>
    <t>Notes</t>
  </si>
  <si>
    <t>CFS</t>
  </si>
  <si>
    <t>5297</t>
  </si>
  <si>
    <t>5298</t>
  </si>
  <si>
    <r>
      <t># of Pay-periods for the position</t>
    </r>
    <r>
      <rPr>
        <sz val="10"/>
        <color indexed="10"/>
        <rFont val="Arial"/>
        <family val="2"/>
      </rPr>
      <t xml:space="preserve">
(≠0)</t>
    </r>
  </si>
  <si>
    <t># of Pay-periods</t>
  </si>
  <si>
    <r>
      <t># of Pay-periods for the position (</t>
    </r>
    <r>
      <rPr>
        <sz val="10"/>
        <color indexed="10"/>
        <rFont val="Arial"/>
        <family val="2"/>
      </rPr>
      <t>≠0</t>
    </r>
    <r>
      <rPr>
        <sz val="10"/>
        <color indexed="8"/>
        <rFont val="Arial"/>
        <family val="2"/>
      </rPr>
      <t>)</t>
    </r>
  </si>
  <si>
    <t>Salary</t>
  </si>
  <si>
    <t>% of Total Salary for the corresponding # of pay-periods</t>
  </si>
  <si>
    <t>Position Type</t>
  </si>
  <si>
    <t>INPUT DATA</t>
  </si>
  <si>
    <t>RESULTS</t>
  </si>
  <si>
    <t>Total Yearly Salary</t>
  </si>
  <si>
    <t>Sub-total Salary</t>
  </si>
  <si>
    <t>Sub-total Fringe</t>
  </si>
  <si>
    <t>Total 
(salary + fringe)</t>
  </si>
  <si>
    <t>Total Salary + Fringe</t>
  </si>
  <si>
    <t>(A)</t>
  </si>
  <si>
    <t>(B)</t>
  </si>
  <si>
    <t>(B) - (A)</t>
  </si>
  <si>
    <t>ERS RHI</t>
  </si>
  <si>
    <t>- Employees’ Retirement System</t>
  </si>
  <si>
    <t>- Federal Insurance Contributions Act - Social Security</t>
  </si>
  <si>
    <t>- State Assessed Fringe Benefits</t>
  </si>
  <si>
    <t>- Teachers Insurance and Annuity Association</t>
  </si>
  <si>
    <t>- Staff Benefits Allocation</t>
  </si>
  <si>
    <t xml:space="preserve">- Employees’ Retirement System - Retiree Health Insurance </t>
  </si>
  <si>
    <t>- Employee Medical Insurance</t>
  </si>
  <si>
    <t>- Employee Dental Insurance</t>
  </si>
  <si>
    <t>- Employee Vision Insurance</t>
  </si>
  <si>
    <t xml:space="preserve">- Medical Insurance Coverage Waiver Bonus </t>
  </si>
  <si>
    <t>Budgeted # of Pay-periods in CFS</t>
  </si>
  <si>
    <t>Budgeted % of Total Salary in CFS</t>
  </si>
  <si>
    <t>Classified / Union</t>
  </si>
  <si>
    <t>Nonclassified / Union</t>
  </si>
  <si>
    <t>Faculty / Union</t>
  </si>
  <si>
    <t>Vacancy</t>
  </si>
  <si>
    <t>Salary Range</t>
  </si>
  <si>
    <t>Retirement Plans</t>
  </si>
  <si>
    <t>Health plans</t>
  </si>
  <si>
    <t>Unions</t>
  </si>
  <si>
    <t>Fringe codes</t>
  </si>
  <si>
    <t>Code</t>
  </si>
  <si>
    <t>Rate</t>
  </si>
  <si>
    <t>ERS
5280</t>
  </si>
  <si>
    <t>SAFB
5283</t>
  </si>
  <si>
    <t>TIAA
5286</t>
  </si>
  <si>
    <t>SBA
5289</t>
  </si>
  <si>
    <t>ERS RHI
5293</t>
  </si>
  <si>
    <t>MEDICAL
5295</t>
  </si>
  <si>
    <t>DENTAL
5297</t>
  </si>
  <si>
    <t>VISION
5298</t>
  </si>
  <si>
    <t>WAIVER
5218</t>
  </si>
  <si>
    <t>(info)</t>
  </si>
  <si>
    <t>Current_cycle</t>
  </si>
  <si>
    <t>Budget Cycle</t>
  </si>
  <si>
    <t>Required data</t>
  </si>
  <si>
    <t>Optional data</t>
  </si>
  <si>
    <t>There are 4 worksheets (tabs) in this file:</t>
  </si>
  <si>
    <t>All calculators are based on the rates applicable to a certain budget cycle.</t>
  </si>
  <si>
    <t>File structure</t>
  </si>
  <si>
    <t>Budget cycle</t>
  </si>
  <si>
    <t>Fringe benefits rates</t>
  </si>
  <si>
    <t>In-file instructions/info</t>
  </si>
  <si>
    <t xml:space="preserve">Most table headings/cells provide some information or instructions relevant to the corresponding column/cell. </t>
  </si>
  <si>
    <t>This information can be viewed when selecting (clicking the mouse within) the appropriate column heading/cell.</t>
  </si>
  <si>
    <t>In-cell drop-down list</t>
  </si>
  <si>
    <t xml:space="preserve">In many instances, the values that need to be entered in a particular column are either repetitive, or need to be in a very precise format. </t>
  </si>
  <si>
    <t xml:space="preserve">All rates found on this file are subject to change. These calculators will be updated periodically to reflect these changes. </t>
  </si>
  <si>
    <t>Also, the user has the option of changing the rates if required (see the 'Codes &amp; Rates' tab instructions for more details).</t>
  </si>
  <si>
    <t>File integrity</t>
  </si>
  <si>
    <t>These calculators used precise cell location in their formulas. Accordingly, it is essential to maintain this file's integrity.</t>
  </si>
  <si>
    <t xml:space="preserve">Do not add or delete columns. </t>
  </si>
  <si>
    <t xml:space="preserve">Do not delete or change column headings.  </t>
  </si>
  <si>
    <t>Basic Calculator</t>
  </si>
  <si>
    <t xml:space="preserve">• one tab that contains instructions for using the calculators. </t>
  </si>
  <si>
    <t>Sections</t>
  </si>
  <si>
    <t xml:space="preserve">There are two sections in each calculator: a data input section, and a results section. </t>
  </si>
  <si>
    <t xml:space="preserve">Use as much as possible the drop-down lists in the input sections. </t>
  </si>
  <si>
    <t>1. Click inside the cell to initiate the list.</t>
  </si>
  <si>
    <t>2. Click the list button that appears to the right of the activated cell.</t>
  </si>
  <si>
    <t>3. Choose the desired value from the list.</t>
  </si>
  <si>
    <t xml:space="preserve">To accommodate this requirement, a drop-down list was created inside each cell in those columns. </t>
  </si>
  <si>
    <t>As mentioned, use as much as possible the drop-down lists in the input section. The drop-down list can be used as follows:</t>
  </si>
  <si>
    <t>For more information, select (click the mouse within) the corresponding description cell:</t>
  </si>
  <si>
    <t xml:space="preserve">The basic calculator computes the salary and fringe benefits amounts for one person/position. </t>
  </si>
  <si>
    <t>Data input requirements</t>
  </si>
  <si>
    <t>The calculations are based on a number of factors such as: yearly salary, position type, corresponding union, health plan, etc.</t>
  </si>
  <si>
    <t>Variance Calculator</t>
  </si>
  <si>
    <t xml:space="preserve">The variance calculator computes the effect of changing the input data on the salary and fringe benefits amounts for one person/position. </t>
  </si>
  <si>
    <t>This calculator was designed mainly for assisting with computing the amounts needed for budget transfers when changes in a</t>
  </si>
  <si>
    <t>position's salary, health plan, etc. occur.</t>
  </si>
  <si>
    <t>Multiple Positions Calculator</t>
  </si>
  <si>
    <t xml:space="preserve">This calculator computes the salary and fringe benefits amounts for multiple persons/positions. </t>
  </si>
  <si>
    <t>Adding rows is permitted only in the 'Calculator - Multiple Positions' tab (see the 'Calculator - Multiple Positions' tab for more details)</t>
  </si>
  <si>
    <r>
      <t xml:space="preserve">Input the data in no particular order. However, </t>
    </r>
    <r>
      <rPr>
        <u/>
        <sz val="10"/>
        <rFont val="Arial"/>
        <family val="2"/>
      </rPr>
      <t>all fields are required for an accurate result</t>
    </r>
    <r>
      <rPr>
        <sz val="10"/>
        <rFont val="Arial"/>
        <family val="2"/>
      </rPr>
      <t>. Change any input data as needed.</t>
    </r>
  </si>
  <si>
    <t>Several columns have been included for some pertinent optional data: CFS, position #, name, etc. These columns are not required</t>
  </si>
  <si>
    <t>for salary and fringe calculations, and can be left blank if desired (click column headings for more info).</t>
  </si>
  <si>
    <t xml:space="preserve">If the situation warrants, a row can be inserted to accommodate the need for more data. The table has a shaded row and a warning at the </t>
  </si>
  <si>
    <t xml:space="preserve">bottom of the table indicating the row number where the new row can be inserted. In general, a row can be inserted anywhere above </t>
  </si>
  <si>
    <t>the shaded row (the formulas in this table will not calculate anything below this row, and nothing will be printed if written below this row)</t>
  </si>
  <si>
    <t>There are two methods to insert a row:</t>
  </si>
  <si>
    <t>section.</t>
  </si>
  <si>
    <t xml:space="preserve">is filtered (or grouped) by certain criteria (e.g. CFS), the subtotals will show the sum of the amounts for that particular group. </t>
  </si>
  <si>
    <t>Codes &amp; Rates</t>
  </si>
  <si>
    <t>This tab contains the rates and data factors required to arrive at salary increases and fringe calculations.</t>
  </si>
  <si>
    <t>Please do not alter this page unless instructed to do so</t>
  </si>
  <si>
    <t>If instructed, change the pertinent data as follows:</t>
  </si>
  <si>
    <t xml:space="preserve">1. copy an entire row and change the appropriate data in the input data section. </t>
  </si>
  <si>
    <t>2. insert a blank row; input all the data in the red cell in the input data section; and copy all the formulas in the red cells in the results</t>
  </si>
  <si>
    <t>• In the rates by union tables:</t>
  </si>
  <si>
    <t>• In the other rates table:</t>
  </si>
  <si>
    <t xml:space="preserve">- input the new value. </t>
  </si>
  <si>
    <t>General Information</t>
  </si>
  <si>
    <t>TOP</t>
  </si>
  <si>
    <t>ⓘ</t>
  </si>
  <si>
    <t>Contact Information</t>
  </si>
  <si>
    <t>- a basic calculator;</t>
  </si>
  <si>
    <t>- a variance calculator;</t>
  </si>
  <si>
    <t>- a calculator for multiple positions;</t>
  </si>
  <si>
    <t>• one tab that contains various codes and rates necessary for calculations;</t>
  </si>
  <si>
    <t>Do not delete the values in the input sections (the required data section on the 'Calculator - Multiple Positions' tab).</t>
  </si>
  <si>
    <t>Do not delete the formulas in the results sections.</t>
  </si>
  <si>
    <t>- if values are the same by union category, make changes in the CLAS, NONC, or FACU columns only;</t>
  </si>
  <si>
    <t>- if values are not the same by union category, override formula in the appropriate union column.</t>
  </si>
  <si>
    <t>Click on a link above!</t>
  </si>
  <si>
    <t xml:space="preserve">The calculators on this file will compute the salary and fringe benefit amounts for biweekly personnel. </t>
  </si>
  <si>
    <t>Do 'Cut' &amp; 'Paste' data. As much as possible, try not to use 'Copy' &amp; "Paste' - use 'Copy' &amp; "Paste Values' instead.</t>
  </si>
  <si>
    <t>* Note: MPA copay rates are calculated similarly to the nonclassified rates.</t>
  </si>
  <si>
    <t>No</t>
  </si>
  <si>
    <t>5294</t>
  </si>
  <si>
    <t>BOG RHBP</t>
  </si>
  <si>
    <t>- BOG Retiree Health Benefit Program</t>
  </si>
  <si>
    <t>Retiree Health Benefit Program Participant</t>
  </si>
  <si>
    <t>RHBP
5294</t>
  </si>
  <si>
    <r>
      <t xml:space="preserve">Account </t>
    </r>
    <r>
      <rPr>
        <b/>
        <sz val="10"/>
        <rFont val="Arial"/>
        <family val="2"/>
      </rPr>
      <t>5294</t>
    </r>
    <r>
      <rPr>
        <sz val="10"/>
        <rFont val="Arial"/>
        <family val="2"/>
      </rPr>
      <t xml:space="preserve"> (BOG </t>
    </r>
    <r>
      <rPr>
        <i/>
        <sz val="10"/>
        <rFont val="Arial"/>
        <family val="2"/>
      </rPr>
      <t>Employer Cost-Ret Medical Ins</t>
    </r>
    <r>
      <rPr>
        <sz val="10"/>
        <rFont val="Arial"/>
        <family val="2"/>
      </rPr>
      <t>) was now added to these calculators. See the detailed instructions on how to use this rate.</t>
    </r>
  </si>
  <si>
    <t>Please note the new account 5294 (BOG Retiree Health Benefit Program). To compute the amount for this fringe amount, the calculator needs an</t>
  </si>
  <si>
    <t>indication on whether or not the employee is participating in this program. Type "Yes" or "No" as appropriate. Note that the employees participating</t>
  </si>
  <si>
    <t>in this program can only be part of NUNC, PSA or PTAA.</t>
  </si>
  <si>
    <t>Use the input fields to enter the desired changes. The claculator will point to the changed data and  calculate the corresponding variance amounts.</t>
  </si>
  <si>
    <t>RHBP</t>
  </si>
  <si>
    <t>874-2509</t>
  </si>
  <si>
    <t>TIAA HP</t>
  </si>
  <si>
    <t>5282</t>
  </si>
  <si>
    <t>- TIAA - Hybrid Plan</t>
  </si>
  <si>
    <t>TIAA HP
5282</t>
  </si>
  <si>
    <r>
      <t xml:space="preserve">Account </t>
    </r>
    <r>
      <rPr>
        <b/>
        <sz val="10"/>
        <rFont val="Arial"/>
        <family val="2"/>
      </rPr>
      <t>5282</t>
    </r>
    <r>
      <rPr>
        <sz val="10"/>
        <rFont val="Arial"/>
        <family val="2"/>
      </rPr>
      <t xml:space="preserve"> (TIAA Hybrid Plan) was now added to these calculators. This rate will be automatically calculated.</t>
    </r>
  </si>
  <si>
    <t>Waiver - Clas</t>
  </si>
  <si>
    <t>Waiver - Nonc</t>
  </si>
  <si>
    <t>SAFB non-AAUP</t>
  </si>
  <si>
    <t>SAFB AAUP</t>
  </si>
  <si>
    <t>no</t>
  </si>
  <si>
    <t>The subtotals in row 3 work in conjunction with the data filters: the data is summarized according to the values filtered. Thus, if the data</t>
  </si>
  <si>
    <t>• three tabs, each containing a calculator:</t>
  </si>
  <si>
    <t>FICA - Social Security</t>
  </si>
  <si>
    <t>FICA - Medicare</t>
  </si>
  <si>
    <t>Social Security Cap</t>
  </si>
  <si>
    <t>Social Security_Cap</t>
  </si>
  <si>
    <t>- Federal Insurance Contributions Act - Medicare Tax</t>
  </si>
  <si>
    <t>PAYRL ACC</t>
  </si>
  <si>
    <t xml:space="preserve">- Payroll Accrual </t>
  </si>
  <si>
    <t>Payroll Accrual</t>
  </si>
  <si>
    <t>Payroll_Accrual_Rate</t>
  </si>
  <si>
    <t>FICA-SS
5281</t>
  </si>
  <si>
    <t>FICA-MED
5281</t>
  </si>
  <si>
    <t>5270</t>
  </si>
  <si>
    <t>PAYRL ACC
5270</t>
  </si>
  <si>
    <t>TIAAHP_Ranges</t>
  </si>
  <si>
    <t>TIAA Hybrid Plan Ranges</t>
  </si>
  <si>
    <t>TIAAHP1</t>
  </si>
  <si>
    <t>TIAAHP2</t>
  </si>
  <si>
    <t>TIAAHP3</t>
  </si>
  <si>
    <t>TIAAHP4</t>
  </si>
  <si>
    <t>Level</t>
  </si>
  <si>
    <t>Years of Service Range</t>
  </si>
  <si>
    <t>Years of Service</t>
  </si>
  <si>
    <t>FY2024 Allocation</t>
  </si>
  <si>
    <t>FY2024 Allocation - Rates</t>
  </si>
  <si>
    <t>For troubleshooting contact Financial Strategy &amp; Planning at:</t>
  </si>
  <si>
    <t>1/1/23 coshares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</si>
</sst>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0"/>
    <numFmt numFmtId="167" formatCode="0.0"/>
  </numFmts>
  <fonts count="50">
    <font>
      <sz val="10"/>
      <name val="Arial Unicode MS"/>
    </font>
    <font>
      <sz val="10"/>
      <color indexed="8"/>
      <name val="Arial"/>
      <family val="2"/>
    </font>
    <font>
      <sz val="10"/>
      <name val="Arial Unicode MS"/>
      <family val="2"/>
    </font>
    <font>
      <sz val="8"/>
      <name val="Arial Unicode MS"/>
      <family val="2"/>
    </font>
    <font>
      <sz val="10"/>
      <name val="Arial"/>
      <family val="2"/>
    </font>
    <font>
      <b/>
      <sz val="10"/>
      <name val="Arial"/>
      <family val="2"/>
    </font>
    <font>
      <b/>
      <sz val="12"/>
      <name val="Arial"/>
      <family val="2"/>
    </font>
    <font>
      <b/>
      <sz val="9"/>
      <name val="Arial"/>
      <family val="2"/>
    </font>
    <font>
      <sz val="11"/>
      <color indexed="8"/>
      <name val="Calibri"/>
      <family val="2"/>
    </font>
    <font>
      <sz val="10"/>
      <color indexed="8"/>
      <name val="Arial"/>
      <family val="2"/>
    </font>
    <font>
      <sz val="10"/>
      <name val="Arial"/>
      <family val="2"/>
    </font>
    <font>
      <b/>
      <sz val="10"/>
      <color indexed="8"/>
      <name val="Arial"/>
      <family val="2"/>
    </font>
    <font>
      <sz val="10"/>
      <color indexed="10"/>
      <name val="Arial"/>
      <family val="2"/>
    </font>
    <font>
      <sz val="9"/>
      <color indexed="8"/>
      <name val="Arial"/>
      <family val="2"/>
    </font>
    <font>
      <sz val="9"/>
      <name val="Arial"/>
      <family val="2"/>
    </font>
    <font>
      <sz val="12"/>
      <name val="Arial"/>
      <family val="2"/>
    </font>
    <font>
      <b/>
      <sz val="11"/>
      <name val="Arial"/>
      <family val="2"/>
    </font>
    <font>
      <b/>
      <i/>
      <sz val="12"/>
      <name val="Arial"/>
      <family val="2"/>
    </font>
    <font>
      <b/>
      <sz val="11"/>
      <color indexed="8"/>
      <name val="Arial"/>
      <family val="2"/>
    </font>
    <font>
      <b/>
      <i/>
      <sz val="11"/>
      <name val="Arial"/>
      <family val="2"/>
    </font>
    <font>
      <sz val="11"/>
      <name val="Arial"/>
      <family val="2"/>
    </font>
    <font>
      <sz val="8"/>
      <name val="Arial"/>
      <family val="2"/>
    </font>
    <font>
      <b/>
      <sz val="14"/>
      <name val="Arial"/>
      <family val="2"/>
    </font>
    <font>
      <b/>
      <i/>
      <sz val="14"/>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i/>
      <sz val="11"/>
      <name val="Arial"/>
      <family val="2"/>
    </font>
    <font>
      <b/>
      <sz val="14"/>
      <color indexed="8"/>
      <name val="Arial"/>
      <family val="2"/>
    </font>
    <font>
      <b/>
      <sz val="9"/>
      <color indexed="8"/>
      <name val="Arial"/>
      <family val="2"/>
    </font>
    <font>
      <sz val="14"/>
      <color indexed="8"/>
      <name val="Arial"/>
      <family val="2"/>
    </font>
    <font>
      <sz val="8"/>
      <color indexed="8"/>
      <name val="Arial"/>
      <family val="2"/>
    </font>
    <font>
      <b/>
      <sz val="12"/>
      <color indexed="8"/>
      <name val="Arial"/>
      <family val="2"/>
    </font>
    <font>
      <sz val="12"/>
      <color indexed="8"/>
      <name val="Arial"/>
      <family val="2"/>
    </font>
    <font>
      <b/>
      <u/>
      <sz val="10"/>
      <name val="Arial"/>
      <family val="2"/>
    </font>
    <font>
      <u/>
      <sz val="10"/>
      <name val="Arial"/>
      <family val="2"/>
    </font>
    <font>
      <u/>
      <sz val="10"/>
      <color indexed="12"/>
      <name val="Arial"/>
      <family val="2"/>
    </font>
    <font>
      <sz val="10"/>
      <color indexed="12"/>
      <name val="Arial"/>
      <family val="2"/>
    </font>
    <font>
      <sz val="8"/>
      <name val="Arial Unicode MS"/>
      <family val="2"/>
    </font>
    <font>
      <u/>
      <sz val="10"/>
      <color indexed="12"/>
      <name val="Arial Unicode MS"/>
      <family val="2"/>
    </font>
    <font>
      <sz val="10"/>
      <color indexed="10"/>
      <name val="Arial"/>
      <family val="2"/>
    </font>
    <font>
      <sz val="10"/>
      <name val="Arial Unicode MS"/>
      <family val="2"/>
    </font>
    <font>
      <sz val="11"/>
      <color theme="1"/>
      <name val="Calibri"/>
      <family val="2"/>
      <scheme val="minor"/>
    </font>
    <font>
      <u/>
      <sz val="10"/>
      <color theme="10"/>
      <name val="Arial Unicode MS"/>
      <family val="2"/>
    </font>
    <font>
      <sz val="11"/>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lightGray">
        <bgColor indexed="9"/>
      </patternFill>
    </fill>
    <fill>
      <patternFill patternType="solid">
        <fgColor theme="0"/>
        <bgColor indexed="64"/>
      </patternFill>
    </fill>
  </fills>
  <borders count="76">
    <border>
      <left/>
      <right/>
      <top/>
      <bottom/>
      <diagonal/>
    </border>
    <border>
      <left/>
      <right/>
      <top style="double">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78">
    <xf numFmtId="0" fontId="0" fillId="0" borderId="0"/>
    <xf numFmtId="166" fontId="21" fillId="0" borderId="0" applyFill="0"/>
    <xf numFmtId="166" fontId="7" fillId="0" borderId="0">
      <alignment horizontal="center"/>
    </xf>
    <xf numFmtId="0" fontId="7" fillId="0" borderId="0" applyFill="0">
      <alignment horizontal="center"/>
    </xf>
    <xf numFmtId="166" fontId="22" fillId="0" borderId="1" applyFill="0"/>
    <xf numFmtId="0" fontId="4" fillId="0" borderId="0" applyFont="0" applyAlignment="0"/>
    <xf numFmtId="0" fontId="23" fillId="0" borderId="0" applyFill="0">
      <alignment vertical="top"/>
    </xf>
    <xf numFmtId="0" fontId="22" fillId="0" borderId="0" applyFill="0">
      <alignment horizontal="left" vertical="top"/>
    </xf>
    <xf numFmtId="166" fontId="6" fillId="0" borderId="2" applyFill="0"/>
    <xf numFmtId="0" fontId="4" fillId="0" borderId="0" applyNumberFormat="0" applyFont="0" applyAlignment="0"/>
    <xf numFmtId="0" fontId="23" fillId="0" borderId="0" applyFill="0">
      <alignment wrapText="1"/>
    </xf>
    <xf numFmtId="0" fontId="22" fillId="0" borderId="0" applyFill="0">
      <alignment horizontal="left" vertical="top" wrapText="1"/>
    </xf>
    <xf numFmtId="166" fontId="16" fillId="0" borderId="0" applyFill="0"/>
    <xf numFmtId="0" fontId="24" fillId="0" borderId="0" applyNumberFormat="0" applyFont="0" applyAlignment="0">
      <alignment horizontal="center"/>
    </xf>
    <xf numFmtId="0" fontId="17" fillId="0" borderId="0" applyFill="0">
      <alignment vertical="top" wrapText="1"/>
    </xf>
    <xf numFmtId="0" fontId="6" fillId="0" borderId="0" applyFill="0">
      <alignment horizontal="left" vertical="top" wrapText="1"/>
    </xf>
    <xf numFmtId="166" fontId="4" fillId="0" borderId="0" applyFill="0"/>
    <xf numFmtId="0" fontId="24" fillId="0" borderId="0" applyNumberFormat="0" applyFont="0" applyAlignment="0">
      <alignment horizontal="center"/>
    </xf>
    <xf numFmtId="0" fontId="25" fillId="0" borderId="0" applyFill="0">
      <alignment vertical="center" wrapText="1"/>
    </xf>
    <xf numFmtId="0" fontId="15" fillId="0" borderId="0">
      <alignment horizontal="left" vertical="center" wrapText="1"/>
    </xf>
    <xf numFmtId="166" fontId="14" fillId="0" borderId="0" applyFill="0"/>
    <xf numFmtId="0" fontId="24" fillId="0" borderId="0" applyNumberFormat="0" applyFont="0" applyAlignment="0">
      <alignment horizontal="center"/>
    </xf>
    <xf numFmtId="0" fontId="26" fillId="0" borderId="0" applyFill="0">
      <alignment horizontal="center" vertical="center" wrapText="1"/>
    </xf>
    <xf numFmtId="0" fontId="4" fillId="0" borderId="0" applyFill="0">
      <alignment horizontal="center" vertical="center" wrapText="1"/>
    </xf>
    <xf numFmtId="165"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66" fontId="30" fillId="0" borderId="0" applyFill="0"/>
    <xf numFmtId="0" fontId="24" fillId="0" borderId="0" applyNumberFormat="0" applyFont="0" applyAlignment="0">
      <alignment horizontal="center"/>
    </xf>
    <xf numFmtId="0" fontId="31" fillId="0" borderId="0">
      <alignment horizontal="center" wrapText="1"/>
    </xf>
    <xf numFmtId="0" fontId="27"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48" fillId="0" borderId="0" applyNumberFormat="0" applyFill="0" applyBorder="0" applyAlignment="0" applyProtection="0">
      <alignment vertical="top"/>
      <protection locked="0"/>
    </xf>
    <xf numFmtId="0" fontId="2" fillId="0" borderId="0"/>
    <xf numFmtId="0" fontId="47" fillId="0" borderId="0"/>
    <xf numFmtId="0" fontId="10" fillId="0" borderId="0"/>
    <xf numFmtId="0" fontId="47" fillId="0" borderId="0"/>
    <xf numFmtId="0" fontId="2" fillId="0" borderId="0"/>
    <xf numFmtId="0" fontId="4" fillId="0" borderId="0"/>
    <xf numFmtId="0" fontId="2" fillId="0" borderId="0"/>
    <xf numFmtId="9" fontId="46"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44" fontId="14" fillId="2" borderId="0" applyFill="0"/>
    <xf numFmtId="0" fontId="13" fillId="0" borderId="0">
      <alignment horizontal="left" vertical="top"/>
    </xf>
    <xf numFmtId="0" fontId="14" fillId="0" borderId="0" applyFill="0">
      <alignment horizontal="left" indent="2"/>
    </xf>
    <xf numFmtId="44" fontId="7" fillId="0" borderId="3" applyFill="0">
      <alignment horizontal="right"/>
    </xf>
    <xf numFmtId="0" fontId="5" fillId="0" borderId="4" applyNumberFormat="0" applyFont="0" applyBorder="0">
      <alignment horizontal="right"/>
    </xf>
    <xf numFmtId="0" fontId="17" fillId="0" borderId="0" applyFill="0"/>
    <xf numFmtId="0" fontId="6" fillId="0" borderId="0" applyFill="0"/>
    <xf numFmtId="44" fontId="7" fillId="0" borderId="3" applyFill="0"/>
    <xf numFmtId="0" fontId="4" fillId="0" borderId="0" applyNumberFormat="0" applyFont="0" applyBorder="0" applyAlignment="0"/>
    <xf numFmtId="0" fontId="19" fillId="0" borderId="0" applyFill="0">
      <alignment horizontal="left" indent="1"/>
    </xf>
    <xf numFmtId="0" fontId="18" fillId="0" borderId="0" applyFill="0">
      <alignment horizontal="left" indent="1"/>
    </xf>
    <xf numFmtId="44" fontId="14" fillId="0" borderId="0" applyFill="0"/>
    <xf numFmtId="0" fontId="4" fillId="0" borderId="0" applyNumberFormat="0" applyFont="0" applyFill="0" applyBorder="0" applyAlignment="0"/>
    <xf numFmtId="0" fontId="19" fillId="0" borderId="0" applyFill="0">
      <alignment horizontal="left" indent="2"/>
    </xf>
    <xf numFmtId="0" fontId="5" fillId="0" borderId="0" applyFill="0">
      <alignment horizontal="left" indent="2"/>
    </xf>
    <xf numFmtId="44" fontId="14" fillId="0" borderId="0" applyFill="0"/>
    <xf numFmtId="0" fontId="4" fillId="0" borderId="0" applyNumberFormat="0" applyFont="0" applyBorder="0" applyAlignment="0"/>
    <xf numFmtId="0" fontId="32" fillId="0" borderId="0">
      <alignment horizontal="left" indent="3"/>
    </xf>
    <xf numFmtId="0" fontId="20" fillId="0" borderId="0" applyFill="0">
      <alignment horizontal="left" indent="3"/>
    </xf>
    <xf numFmtId="44" fontId="14" fillId="0" borderId="0" applyFill="0"/>
    <xf numFmtId="0" fontId="4" fillId="0" borderId="0" applyNumberFormat="0" applyFont="0" applyBorder="0" applyAlignment="0"/>
    <xf numFmtId="0" fontId="26" fillId="0" borderId="0">
      <alignment horizontal="left" indent="4"/>
    </xf>
    <xf numFmtId="0" fontId="4" fillId="0" borderId="0" applyFill="0">
      <alignment horizontal="left" indent="4"/>
    </xf>
    <xf numFmtId="44" fontId="27" fillId="0" borderId="0" applyFill="0"/>
    <xf numFmtId="0" fontId="4" fillId="0" borderId="0" applyNumberFormat="0" applyFont="0" applyBorder="0" applyAlignment="0"/>
    <xf numFmtId="0" fontId="28" fillId="0" borderId="0">
      <alignment horizontal="left" indent="5"/>
    </xf>
    <xf numFmtId="0" fontId="29" fillId="0" borderId="0" applyFill="0">
      <alignment horizontal="left" indent="5"/>
    </xf>
    <xf numFmtId="44" fontId="30" fillId="0" borderId="0" applyFill="0"/>
    <xf numFmtId="0" fontId="4" fillId="0" borderId="0" applyNumberFormat="0" applyFont="0" applyFill="0" applyBorder="0" applyAlignment="0"/>
    <xf numFmtId="0" fontId="31" fillId="0" borderId="0" applyFill="0">
      <alignment horizontal="left" indent="6"/>
    </xf>
    <xf numFmtId="0" fontId="27" fillId="0" borderId="0" applyFill="0">
      <alignment horizontal="left" indent="6"/>
    </xf>
  </cellStyleXfs>
  <cellXfs count="289">
    <xf numFmtId="0" fontId="0" fillId="0" borderId="0" xfId="0"/>
    <xf numFmtId="0" fontId="9" fillId="3" borderId="0" xfId="37" applyFont="1" applyFill="1" applyAlignment="1">
      <alignment vertical="center"/>
    </xf>
    <xf numFmtId="164" fontId="9" fillId="0" borderId="5" xfId="37" applyNumberFormat="1" applyFont="1" applyBorder="1" applyAlignment="1">
      <alignment vertical="center"/>
    </xf>
    <xf numFmtId="164" fontId="9" fillId="0" borderId="6" xfId="37" applyNumberFormat="1" applyFont="1" applyBorder="1" applyAlignment="1">
      <alignment vertical="center"/>
    </xf>
    <xf numFmtId="164" fontId="9" fillId="0" borderId="7" xfId="37" applyNumberFormat="1" applyFont="1" applyBorder="1" applyAlignment="1">
      <alignment vertical="center"/>
    </xf>
    <xf numFmtId="164" fontId="11" fillId="0" borderId="8" xfId="37" applyNumberFormat="1" applyFont="1" applyBorder="1" applyAlignment="1">
      <alignment vertical="center"/>
    </xf>
    <xf numFmtId="0" fontId="4" fillId="3" borderId="0" xfId="37" applyFont="1" applyFill="1"/>
    <xf numFmtId="0" fontId="9" fillId="3" borderId="9" xfId="0" quotePrefix="1" applyFont="1" applyFill="1" applyBorder="1" applyAlignment="1">
      <alignment horizontal="left" vertical="center" shrinkToFit="1"/>
    </xf>
    <xf numFmtId="164" fontId="9" fillId="3" borderId="10" xfId="37" applyNumberFormat="1" applyFont="1" applyFill="1" applyBorder="1" applyAlignment="1">
      <alignment horizontal="center" vertical="center" shrinkToFit="1"/>
    </xf>
    <xf numFmtId="0" fontId="9" fillId="3" borderId="11" xfId="0" applyFont="1" applyFill="1" applyBorder="1" applyAlignment="1">
      <alignment horizontal="left" vertical="center" shrinkToFit="1"/>
    </xf>
    <xf numFmtId="0" fontId="9" fillId="3" borderId="12" xfId="0" applyFont="1" applyFill="1" applyBorder="1" applyAlignment="1">
      <alignment horizontal="left" vertical="center" shrinkToFit="1"/>
    </xf>
    <xf numFmtId="49" fontId="9" fillId="3" borderId="13" xfId="0" applyNumberFormat="1" applyFont="1" applyFill="1" applyBorder="1" applyAlignment="1">
      <alignment horizontal="center" vertical="center" shrinkToFit="1"/>
    </xf>
    <xf numFmtId="0" fontId="9" fillId="3" borderId="0" xfId="0" applyFont="1" applyFill="1" applyAlignment="1">
      <alignment horizontal="left" vertical="center" shrinkToFit="1"/>
    </xf>
    <xf numFmtId="0" fontId="9" fillId="3" borderId="0" xfId="37" applyFont="1" applyFill="1" applyAlignment="1">
      <alignment vertical="center" shrinkToFit="1"/>
    </xf>
    <xf numFmtId="164" fontId="9" fillId="3" borderId="14" xfId="37" quotePrefix="1" applyNumberFormat="1" applyFont="1" applyFill="1" applyBorder="1"/>
    <xf numFmtId="0" fontId="9" fillId="3" borderId="14" xfId="37" applyFont="1" applyFill="1" applyBorder="1" applyAlignment="1">
      <alignment horizontal="center"/>
    </xf>
    <xf numFmtId="1" fontId="9" fillId="3" borderId="14" xfId="37" applyNumberFormat="1" applyFont="1" applyFill="1" applyBorder="1" applyAlignment="1">
      <alignment horizontal="center"/>
    </xf>
    <xf numFmtId="0" fontId="9" fillId="3" borderId="14" xfId="37" applyFont="1" applyFill="1" applyBorder="1" applyAlignment="1">
      <alignment horizontal="right"/>
    </xf>
    <xf numFmtId="164" fontId="9" fillId="3" borderId="15" xfId="37" applyNumberFormat="1" applyFont="1" applyFill="1" applyBorder="1"/>
    <xf numFmtId="0" fontId="9" fillId="3" borderId="0" xfId="37" applyFont="1" applyFill="1"/>
    <xf numFmtId="0" fontId="11" fillId="3" borderId="0" xfId="0" applyFont="1" applyFill="1" applyAlignment="1">
      <alignment vertical="center"/>
    </xf>
    <xf numFmtId="0" fontId="9" fillId="3" borderId="0" xfId="0" applyFont="1" applyFill="1" applyAlignment="1">
      <alignment horizontal="center" vertical="top" wrapText="1"/>
    </xf>
    <xf numFmtId="0" fontId="9" fillId="3" borderId="16" xfId="38" applyFont="1" applyFill="1" applyBorder="1"/>
    <xf numFmtId="0" fontId="9" fillId="3" borderId="16" xfId="38" applyFont="1" applyFill="1" applyBorder="1" applyAlignment="1">
      <alignment horizontal="center"/>
    </xf>
    <xf numFmtId="0" fontId="9" fillId="3" borderId="0" xfId="38" applyFont="1" applyFill="1"/>
    <xf numFmtId="0" fontId="9" fillId="3" borderId="0" xfId="37" applyFont="1" applyFill="1" applyAlignment="1">
      <alignment horizontal="center"/>
    </xf>
    <xf numFmtId="167" fontId="9" fillId="0" borderId="0" xfId="39" applyNumberFormat="1" applyFont="1" applyAlignment="1">
      <alignment horizontal="center"/>
    </xf>
    <xf numFmtId="0" fontId="9" fillId="4" borderId="17" xfId="0" applyFont="1" applyFill="1" applyBorder="1" applyAlignment="1">
      <alignment horizontal="center" vertical="top" wrapText="1"/>
    </xf>
    <xf numFmtId="0" fontId="9" fillId="4" borderId="18" xfId="0" applyFont="1" applyFill="1" applyBorder="1" applyAlignment="1">
      <alignment horizontal="center" vertical="top" wrapText="1"/>
    </xf>
    <xf numFmtId="0" fontId="11" fillId="4" borderId="19" xfId="0" applyFont="1" applyFill="1" applyBorder="1" applyAlignment="1">
      <alignment vertical="center" wrapText="1"/>
    </xf>
    <xf numFmtId="0" fontId="9" fillId="4" borderId="20" xfId="0" applyFont="1" applyFill="1" applyBorder="1" applyAlignment="1">
      <alignment horizontal="center" vertical="top" wrapText="1"/>
    </xf>
    <xf numFmtId="0" fontId="9" fillId="4" borderId="20" xfId="36" applyFont="1" applyFill="1" applyBorder="1" applyAlignment="1">
      <alignment horizontal="center" vertical="top" wrapText="1"/>
    </xf>
    <xf numFmtId="0" fontId="9" fillId="4" borderId="21" xfId="0" applyFont="1" applyFill="1" applyBorder="1" applyAlignment="1">
      <alignment horizontal="center" vertical="top" wrapText="1"/>
    </xf>
    <xf numFmtId="167" fontId="9" fillId="4" borderId="20" xfId="36" applyNumberFormat="1" applyFont="1" applyFill="1" applyBorder="1" applyAlignment="1">
      <alignment horizontal="center" vertical="top" wrapText="1"/>
    </xf>
    <xf numFmtId="0" fontId="9" fillId="4" borderId="22" xfId="0" applyFont="1" applyFill="1" applyBorder="1" applyAlignment="1">
      <alignment horizontal="center" vertical="top" wrapText="1"/>
    </xf>
    <xf numFmtId="0" fontId="11" fillId="4" borderId="23" xfId="0" applyFont="1" applyFill="1" applyBorder="1" applyAlignment="1">
      <alignment horizontal="center" vertical="top" wrapText="1"/>
    </xf>
    <xf numFmtId="0" fontId="9" fillId="4" borderId="24" xfId="0" applyFont="1" applyFill="1" applyBorder="1" applyAlignment="1">
      <alignment horizontal="center" vertical="top" wrapText="1"/>
    </xf>
    <xf numFmtId="0" fontId="12" fillId="3" borderId="16" xfId="38" applyFont="1" applyFill="1" applyBorder="1"/>
    <xf numFmtId="49" fontId="9" fillId="0" borderId="0" xfId="37" applyNumberFormat="1" applyFont="1" applyAlignment="1">
      <alignment shrinkToFit="1"/>
    </xf>
    <xf numFmtId="164" fontId="9" fillId="0" borderId="0" xfId="37" applyNumberFormat="1" applyFont="1" applyAlignment="1">
      <alignment shrinkToFit="1"/>
    </xf>
    <xf numFmtId="0" fontId="9" fillId="0" borderId="0" xfId="37" applyFont="1" applyAlignment="1">
      <alignment horizontal="left" shrinkToFit="1"/>
    </xf>
    <xf numFmtId="164" fontId="9" fillId="0" borderId="0" xfId="37" applyNumberFormat="1" applyFont="1"/>
    <xf numFmtId="0" fontId="9" fillId="0" borderId="19" xfId="37" applyFont="1" applyBorder="1"/>
    <xf numFmtId="49" fontId="36" fillId="4" borderId="26" xfId="0" applyNumberFormat="1" applyFont="1" applyFill="1" applyBorder="1" applyAlignment="1">
      <alignment horizontal="center" vertical="center"/>
    </xf>
    <xf numFmtId="3" fontId="4" fillId="3" borderId="14" xfId="37" applyNumberFormat="1" applyFont="1" applyFill="1" applyBorder="1" applyAlignment="1">
      <alignment horizontal="center"/>
    </xf>
    <xf numFmtId="1" fontId="4" fillId="3" borderId="14" xfId="37" applyNumberFormat="1" applyFont="1" applyFill="1" applyBorder="1" applyAlignment="1">
      <alignment horizontal="center"/>
    </xf>
    <xf numFmtId="49" fontId="36" fillId="4" borderId="27" xfId="0" applyNumberFormat="1" applyFont="1" applyFill="1" applyBorder="1" applyAlignment="1">
      <alignment horizontal="center" vertical="center"/>
    </xf>
    <xf numFmtId="49" fontId="36" fillId="4" borderId="17" xfId="0" applyNumberFormat="1" applyFont="1" applyFill="1" applyBorder="1" applyAlignment="1">
      <alignment horizontal="center" vertical="center"/>
    </xf>
    <xf numFmtId="0" fontId="9" fillId="3" borderId="0" xfId="39" applyFont="1" applyFill="1"/>
    <xf numFmtId="0" fontId="9" fillId="0" borderId="0" xfId="39" applyFont="1" applyAlignment="1">
      <alignment horizontal="center" shrinkToFit="1"/>
    </xf>
    <xf numFmtId="0" fontId="5" fillId="4" borderId="28" xfId="37" applyFont="1" applyFill="1" applyBorder="1" applyAlignment="1">
      <alignment horizontal="centerContinuous" vertical="center"/>
    </xf>
    <xf numFmtId="0" fontId="5" fillId="4" borderId="14" xfId="37" applyFont="1" applyFill="1" applyBorder="1" applyAlignment="1">
      <alignment horizontal="centerContinuous" vertical="center"/>
    </xf>
    <xf numFmtId="0" fontId="5" fillId="4" borderId="29" xfId="37" applyFont="1" applyFill="1" applyBorder="1" applyAlignment="1">
      <alignment horizontal="centerContinuous" vertical="center"/>
    </xf>
    <xf numFmtId="0" fontId="5" fillId="4" borderId="16" xfId="37" applyFont="1" applyFill="1" applyBorder="1" applyAlignment="1">
      <alignment horizontal="centerContinuous" vertical="center"/>
    </xf>
    <xf numFmtId="0" fontId="5" fillId="4" borderId="30" xfId="37" applyFont="1" applyFill="1" applyBorder="1" applyAlignment="1">
      <alignment horizontal="centerContinuous" vertical="center"/>
    </xf>
    <xf numFmtId="0" fontId="5" fillId="4" borderId="30" xfId="37" applyFont="1" applyFill="1" applyBorder="1" applyAlignment="1">
      <alignment horizontal="center" vertical="center"/>
    </xf>
    <xf numFmtId="0" fontId="5" fillId="3" borderId="0" xfId="37" applyFont="1" applyFill="1" applyAlignment="1">
      <alignment vertical="center"/>
    </xf>
    <xf numFmtId="164" fontId="9" fillId="4" borderId="31" xfId="37" applyNumberFormat="1" applyFont="1" applyFill="1" applyBorder="1" applyAlignment="1" applyProtection="1">
      <alignment horizontal="center" vertical="center" shrinkToFit="1"/>
      <protection locked="0"/>
    </xf>
    <xf numFmtId="0" fontId="9" fillId="4" borderId="32" xfId="37" applyFont="1" applyFill="1" applyBorder="1" applyAlignment="1" applyProtection="1">
      <alignment horizontal="center" vertical="center" shrinkToFit="1"/>
      <protection locked="0"/>
    </xf>
    <xf numFmtId="0" fontId="38" fillId="3" borderId="33" xfId="37" applyFont="1" applyFill="1" applyBorder="1" applyAlignment="1">
      <alignment vertical="center"/>
    </xf>
    <xf numFmtId="0" fontId="38" fillId="3" borderId="0" xfId="37" applyFont="1" applyFill="1" applyAlignment="1">
      <alignment vertical="center"/>
    </xf>
    <xf numFmtId="0" fontId="38" fillId="3" borderId="33" xfId="37" applyFont="1" applyFill="1" applyBorder="1"/>
    <xf numFmtId="0" fontId="38" fillId="3" borderId="33" xfId="37" applyFont="1" applyFill="1" applyBorder="1" applyAlignment="1">
      <alignment horizontal="center"/>
    </xf>
    <xf numFmtId="0" fontId="38" fillId="3" borderId="0" xfId="37" applyFont="1" applyFill="1"/>
    <xf numFmtId="0" fontId="11" fillId="0" borderId="0" xfId="39" applyFont="1" applyAlignment="1">
      <alignment vertical="center"/>
    </xf>
    <xf numFmtId="164" fontId="9" fillId="0" borderId="34" xfId="37" applyNumberFormat="1" applyFont="1" applyBorder="1" applyAlignment="1">
      <alignment vertical="center"/>
    </xf>
    <xf numFmtId="164" fontId="9" fillId="0" borderId="19" xfId="37" applyNumberFormat="1" applyFont="1" applyBorder="1" applyAlignment="1">
      <alignment vertical="center"/>
    </xf>
    <xf numFmtId="164" fontId="9" fillId="0" borderId="35" xfId="37" applyNumberFormat="1" applyFont="1" applyBorder="1" applyAlignment="1">
      <alignment vertical="center"/>
    </xf>
    <xf numFmtId="164" fontId="11" fillId="0" borderId="36" xfId="37" applyNumberFormat="1" applyFont="1" applyBorder="1" applyAlignment="1">
      <alignment vertical="center"/>
    </xf>
    <xf numFmtId="0" fontId="33" fillId="3" borderId="33" xfId="39" applyFont="1" applyFill="1" applyBorder="1" applyAlignment="1">
      <alignment vertical="center"/>
    </xf>
    <xf numFmtId="0" fontId="35" fillId="3" borderId="33" xfId="39" applyFont="1" applyFill="1" applyBorder="1" applyAlignment="1">
      <alignment vertical="center"/>
    </xf>
    <xf numFmtId="0" fontId="35" fillId="3" borderId="33" xfId="37" applyFont="1" applyFill="1" applyBorder="1"/>
    <xf numFmtId="0" fontId="35" fillId="3" borderId="0" xfId="37" applyFont="1" applyFill="1"/>
    <xf numFmtId="0" fontId="13" fillId="3" borderId="0" xfId="39" applyFont="1" applyFill="1" applyAlignment="1">
      <alignment vertical="center"/>
    </xf>
    <xf numFmtId="0" fontId="13" fillId="3" borderId="0" xfId="37" applyFont="1" applyFill="1"/>
    <xf numFmtId="0" fontId="13" fillId="3" borderId="0" xfId="37" applyFont="1" applyFill="1" applyAlignment="1">
      <alignment vertical="center"/>
    </xf>
    <xf numFmtId="0" fontId="13" fillId="3" borderId="28" xfId="39" applyFont="1" applyFill="1" applyBorder="1" applyAlignment="1">
      <alignment vertical="center"/>
    </xf>
    <xf numFmtId="0" fontId="13" fillId="3" borderId="14" xfId="39" applyFont="1" applyFill="1" applyBorder="1" applyAlignment="1">
      <alignment vertical="center"/>
    </xf>
    <xf numFmtId="0" fontId="13" fillId="3" borderId="29" xfId="39" applyFont="1" applyFill="1" applyBorder="1" applyAlignment="1">
      <alignment vertical="center"/>
    </xf>
    <xf numFmtId="0" fontId="14" fillId="3" borderId="28" xfId="38" applyFont="1" applyFill="1" applyBorder="1" applyAlignment="1">
      <alignment horizontal="left" vertical="center"/>
    </xf>
    <xf numFmtId="0" fontId="14" fillId="3" borderId="29" xfId="38" applyFont="1" applyFill="1" applyBorder="1" applyAlignment="1">
      <alignment horizontal="center" vertical="center"/>
    </xf>
    <xf numFmtId="0" fontId="34" fillId="4" borderId="30" xfId="39" applyFont="1" applyFill="1" applyBorder="1" applyAlignment="1">
      <alignment vertical="center"/>
    </xf>
    <xf numFmtId="0" fontId="34" fillId="4" borderId="37" xfId="39" applyFont="1" applyFill="1" applyBorder="1" applyAlignment="1">
      <alignment horizontal="centerContinuous" vertical="center"/>
    </xf>
    <xf numFmtId="0" fontId="34" fillId="4" borderId="38" xfId="39" applyFont="1" applyFill="1" applyBorder="1" applyAlignment="1">
      <alignment horizontal="centerContinuous" vertical="center"/>
    </xf>
    <xf numFmtId="0" fontId="34" fillId="4" borderId="39" xfId="39" applyFont="1" applyFill="1" applyBorder="1" applyAlignment="1">
      <alignment horizontal="center" vertical="center"/>
    </xf>
    <xf numFmtId="0" fontId="5" fillId="4" borderId="37" xfId="38" applyFont="1" applyFill="1" applyBorder="1" applyAlignment="1">
      <alignment horizontal="centerContinuous" vertical="center"/>
    </xf>
    <xf numFmtId="0" fontId="5" fillId="4" borderId="40" xfId="38" applyFont="1" applyFill="1" applyBorder="1" applyAlignment="1">
      <alignment horizontal="centerContinuous" vertical="center"/>
    </xf>
    <xf numFmtId="0" fontId="14" fillId="3" borderId="0" xfId="38" applyFont="1" applyFill="1" applyAlignment="1">
      <alignment horizontal="center" vertical="center"/>
    </xf>
    <xf numFmtId="0" fontId="7" fillId="4" borderId="23" xfId="38" applyFont="1" applyFill="1" applyBorder="1" applyAlignment="1">
      <alignment vertical="top"/>
    </xf>
    <xf numFmtId="0" fontId="7" fillId="4" borderId="24" xfId="38" applyFont="1" applyFill="1" applyBorder="1" applyAlignment="1">
      <alignment horizontal="center" vertical="center"/>
    </xf>
    <xf numFmtId="0" fontId="14" fillId="4" borderId="41" xfId="38" applyFont="1" applyFill="1" applyBorder="1" applyAlignment="1">
      <alignment horizontal="center" vertical="center"/>
    </xf>
    <xf numFmtId="0" fontId="14" fillId="4" borderId="42" xfId="38" applyFont="1" applyFill="1" applyBorder="1" applyAlignment="1">
      <alignment horizontal="center" vertical="center"/>
    </xf>
    <xf numFmtId="0" fontId="14" fillId="4" borderId="43" xfId="38" applyFont="1" applyFill="1" applyBorder="1" applyAlignment="1">
      <alignment horizontal="center" vertical="center"/>
    </xf>
    <xf numFmtId="0" fontId="14" fillId="4" borderId="23" xfId="38" applyFont="1" applyFill="1" applyBorder="1" applyAlignment="1">
      <alignment horizontal="center" vertical="center"/>
    </xf>
    <xf numFmtId="0" fontId="4" fillId="4" borderId="44" xfId="38" applyFont="1" applyFill="1" applyBorder="1" applyAlignment="1">
      <alignment horizontal="center" vertical="top"/>
    </xf>
    <xf numFmtId="0" fontId="4" fillId="4" borderId="42" xfId="38" applyFont="1" applyFill="1" applyBorder="1" applyAlignment="1">
      <alignment horizontal="center" vertical="top" wrapText="1"/>
    </xf>
    <xf numFmtId="0" fontId="14" fillId="0" borderId="19" xfId="38" applyFont="1" applyBorder="1" applyAlignment="1">
      <alignment horizontal="left" vertical="center"/>
    </xf>
    <xf numFmtId="49" fontId="14" fillId="0" borderId="45" xfId="38" applyNumberFormat="1" applyFont="1" applyBorder="1" applyAlignment="1">
      <alignment horizontal="left"/>
    </xf>
    <xf numFmtId="49" fontId="14" fillId="0" borderId="46" xfId="38" applyNumberFormat="1" applyFont="1" applyBorder="1" applyAlignment="1">
      <alignment horizontal="left"/>
    </xf>
    <xf numFmtId="0" fontId="14" fillId="0" borderId="23" xfId="38" applyFont="1" applyBorder="1" applyAlignment="1">
      <alignment horizontal="left" vertical="center"/>
    </xf>
    <xf numFmtId="49" fontId="14" fillId="0" borderId="47" xfId="38" applyNumberFormat="1" applyFont="1" applyBorder="1" applyAlignment="1">
      <alignment horizontal="left"/>
    </xf>
    <xf numFmtId="49" fontId="13" fillId="3" borderId="0" xfId="37" applyNumberFormat="1" applyFont="1" applyFill="1" applyAlignment="1">
      <alignment horizontal="center"/>
    </xf>
    <xf numFmtId="0" fontId="9" fillId="3" borderId="28" xfId="37" applyFont="1" applyFill="1" applyBorder="1" applyAlignment="1">
      <alignment horizontal="center"/>
    </xf>
    <xf numFmtId="0" fontId="9" fillId="4" borderId="45" xfId="0" applyFont="1" applyFill="1" applyBorder="1" applyAlignment="1">
      <alignment horizontal="center" vertical="top" wrapText="1"/>
    </xf>
    <xf numFmtId="0" fontId="9" fillId="0" borderId="46" xfId="37" applyFont="1" applyBorder="1" applyAlignment="1">
      <alignment horizontal="center"/>
    </xf>
    <xf numFmtId="164" fontId="9" fillId="0" borderId="48" xfId="37" applyNumberFormat="1" applyFont="1" applyBorder="1"/>
    <xf numFmtId="164" fontId="9" fillId="0" borderId="49" xfId="37" applyNumberFormat="1" applyFont="1" applyBorder="1"/>
    <xf numFmtId="167" fontId="9" fillId="4" borderId="32" xfId="39" applyNumberFormat="1" applyFont="1" applyFill="1" applyBorder="1" applyAlignment="1" applyProtection="1">
      <alignment horizontal="center"/>
      <protection locked="0"/>
    </xf>
    <xf numFmtId="0" fontId="36" fillId="3" borderId="0" xfId="37" quotePrefix="1" applyFont="1" applyFill="1" applyAlignment="1">
      <alignment horizontal="center" vertical="center"/>
    </xf>
    <xf numFmtId="49" fontId="9" fillId="3" borderId="14" xfId="37" applyNumberFormat="1" applyFont="1" applyFill="1" applyBorder="1"/>
    <xf numFmtId="0" fontId="9" fillId="0" borderId="46" xfId="37" applyFont="1" applyBorder="1" applyAlignment="1">
      <alignment horizontal="center" shrinkToFit="1"/>
    </xf>
    <xf numFmtId="0" fontId="9" fillId="5" borderId="47" xfId="37" applyFont="1" applyFill="1" applyBorder="1" applyAlignment="1">
      <alignment horizontal="center"/>
    </xf>
    <xf numFmtId="49" fontId="9" fillId="5" borderId="33" xfId="39" applyNumberFormat="1" applyFont="1" applyFill="1" applyBorder="1"/>
    <xf numFmtId="49" fontId="9" fillId="5" borderId="33" xfId="37" applyNumberFormat="1" applyFont="1" applyFill="1" applyBorder="1"/>
    <xf numFmtId="164" fontId="9" fillId="5" borderId="33" xfId="37" applyNumberFormat="1" applyFont="1" applyFill="1" applyBorder="1"/>
    <xf numFmtId="0" fontId="9" fillId="5" borderId="33" xfId="37" applyFont="1" applyFill="1" applyBorder="1" applyAlignment="1">
      <alignment horizontal="center"/>
    </xf>
    <xf numFmtId="1" fontId="9" fillId="5" borderId="33" xfId="37" applyNumberFormat="1" applyFont="1" applyFill="1" applyBorder="1" applyAlignment="1">
      <alignment horizontal="center"/>
    </xf>
    <xf numFmtId="0" fontId="9" fillId="5" borderId="33" xfId="37" applyFont="1" applyFill="1" applyBorder="1" applyAlignment="1">
      <alignment horizontal="left"/>
    </xf>
    <xf numFmtId="164" fontId="9" fillId="5" borderId="50" xfId="37" applyNumberFormat="1" applyFont="1" applyFill="1" applyBorder="1"/>
    <xf numFmtId="164" fontId="9" fillId="5" borderId="23" xfId="37" applyNumberFormat="1" applyFont="1" applyFill="1" applyBorder="1" applyAlignment="1">
      <alignment wrapText="1"/>
    </xf>
    <xf numFmtId="49" fontId="9" fillId="0" borderId="51" xfId="37" applyNumberFormat="1" applyFont="1" applyBorder="1" applyAlignment="1">
      <alignment shrinkToFit="1"/>
    </xf>
    <xf numFmtId="49" fontId="9" fillId="0" borderId="52" xfId="37" applyNumberFormat="1" applyFont="1" applyBorder="1" applyAlignment="1">
      <alignment shrinkToFit="1"/>
    </xf>
    <xf numFmtId="49" fontId="9" fillId="5" borderId="53" xfId="37" applyNumberFormat="1" applyFont="1" applyFill="1" applyBorder="1"/>
    <xf numFmtId="164" fontId="9" fillId="3" borderId="29" xfId="37" quotePrefix="1" applyNumberFormat="1" applyFont="1" applyFill="1" applyBorder="1"/>
    <xf numFmtId="164" fontId="9" fillId="0" borderId="54" xfId="37" applyNumberFormat="1" applyFont="1" applyBorder="1"/>
    <xf numFmtId="164" fontId="9" fillId="0" borderId="55" xfId="37" applyNumberFormat="1" applyFont="1" applyBorder="1"/>
    <xf numFmtId="164" fontId="9" fillId="5" borderId="56" xfId="37" applyNumberFormat="1" applyFont="1" applyFill="1" applyBorder="1"/>
    <xf numFmtId="0" fontId="11" fillId="4" borderId="25" xfId="0" applyFont="1" applyFill="1" applyBorder="1" applyAlignment="1">
      <alignment horizontal="center" vertical="top" wrapText="1"/>
    </xf>
    <xf numFmtId="164" fontId="9" fillId="0" borderId="32" xfId="37" applyNumberFormat="1" applyFont="1" applyBorder="1"/>
    <xf numFmtId="164" fontId="9" fillId="5" borderId="25" xfId="37" applyNumberFormat="1" applyFont="1" applyFill="1" applyBorder="1"/>
    <xf numFmtId="0" fontId="11" fillId="4" borderId="31" xfId="0" applyFont="1" applyFill="1" applyBorder="1" applyAlignment="1">
      <alignment horizontal="center" vertical="top" wrapText="1"/>
    </xf>
    <xf numFmtId="0" fontId="9" fillId="4" borderId="37" xfId="0" applyFont="1" applyFill="1" applyBorder="1" applyAlignment="1">
      <alignment horizontal="centerContinuous" vertical="top"/>
    </xf>
    <xf numFmtId="0" fontId="9" fillId="4" borderId="38" xfId="0" applyFont="1" applyFill="1" applyBorder="1" applyAlignment="1">
      <alignment horizontal="centerContinuous" vertical="center"/>
    </xf>
    <xf numFmtId="0" fontId="9" fillId="4" borderId="57" xfId="0" applyFont="1" applyFill="1" applyBorder="1" applyAlignment="1">
      <alignment horizontal="centerContinuous" vertical="top"/>
    </xf>
    <xf numFmtId="0" fontId="9" fillId="4" borderId="38" xfId="0" applyFont="1" applyFill="1" applyBorder="1" applyAlignment="1">
      <alignment horizontal="centerContinuous" vertical="top"/>
    </xf>
    <xf numFmtId="0" fontId="9" fillId="4" borderId="38" xfId="36" applyFont="1" applyFill="1" applyBorder="1" applyAlignment="1">
      <alignment horizontal="centerContinuous" vertical="top"/>
    </xf>
    <xf numFmtId="167" fontId="9" fillId="4" borderId="38" xfId="36" applyNumberFormat="1" applyFont="1" applyFill="1" applyBorder="1" applyAlignment="1">
      <alignment horizontal="centerContinuous" vertical="top"/>
    </xf>
    <xf numFmtId="0" fontId="9" fillId="4" borderId="40" xfId="0" applyFont="1" applyFill="1" applyBorder="1" applyAlignment="1">
      <alignment horizontal="centerContinuous" vertical="top"/>
    </xf>
    <xf numFmtId="9" fontId="9" fillId="3" borderId="29" xfId="44" applyFont="1" applyFill="1" applyBorder="1" applyAlignment="1" applyProtection="1">
      <alignment horizontal="right"/>
    </xf>
    <xf numFmtId="0" fontId="39" fillId="3" borderId="0" xfId="0" applyFont="1" applyFill="1"/>
    <xf numFmtId="0" fontId="4" fillId="3" borderId="0" xfId="0" applyFont="1" applyFill="1"/>
    <xf numFmtId="0" fontId="5" fillId="3" borderId="0" xfId="0" applyFont="1" applyFill="1"/>
    <xf numFmtId="0" fontId="4" fillId="3" borderId="0" xfId="0" quotePrefix="1" applyFont="1" applyFill="1"/>
    <xf numFmtId="0" fontId="4" fillId="3" borderId="33" xfId="0" applyFont="1" applyFill="1" applyBorder="1"/>
    <xf numFmtId="0" fontId="4" fillId="3" borderId="0" xfId="0" applyFont="1" applyFill="1" applyProtection="1">
      <protection locked="0"/>
    </xf>
    <xf numFmtId="0" fontId="37" fillId="3" borderId="33" xfId="39" applyFont="1" applyFill="1" applyBorder="1" applyAlignment="1">
      <alignment vertical="center"/>
    </xf>
    <xf numFmtId="0" fontId="26" fillId="3" borderId="0" xfId="0" applyFont="1" applyFill="1"/>
    <xf numFmtId="0" fontId="4" fillId="3" borderId="0" xfId="0" applyFont="1" applyFill="1" applyAlignment="1" applyProtection="1">
      <alignment vertical="center"/>
      <protection locked="0"/>
    </xf>
    <xf numFmtId="0" fontId="4" fillId="4" borderId="28" xfId="0" applyFont="1" applyFill="1" applyBorder="1" applyAlignment="1">
      <alignment vertical="center"/>
    </xf>
    <xf numFmtId="0" fontId="4" fillId="4" borderId="14" xfId="0" applyFont="1" applyFill="1" applyBorder="1" applyAlignment="1">
      <alignment vertical="center"/>
    </xf>
    <xf numFmtId="0" fontId="41" fillId="4" borderId="14" xfId="35" applyFont="1" applyFill="1" applyBorder="1" applyAlignment="1" applyProtection="1">
      <alignment horizontal="center" vertical="center"/>
    </xf>
    <xf numFmtId="0" fontId="4" fillId="3" borderId="0" xfId="0" applyFont="1" applyFill="1" applyAlignment="1">
      <alignment vertical="center"/>
    </xf>
    <xf numFmtId="0" fontId="42" fillId="4" borderId="14" xfId="35" applyFont="1" applyFill="1" applyBorder="1" applyAlignment="1" applyProtection="1">
      <alignment horizontal="center" vertical="center"/>
      <protection locked="0"/>
    </xf>
    <xf numFmtId="0" fontId="41" fillId="4" borderId="29" xfId="35" applyFont="1" applyFill="1" applyBorder="1" applyAlignment="1" applyProtection="1">
      <alignment horizontal="center" vertical="center"/>
    </xf>
    <xf numFmtId="164" fontId="9" fillId="4" borderId="58" xfId="37" applyNumberFormat="1" applyFont="1" applyFill="1" applyBorder="1" applyAlignment="1" applyProtection="1">
      <alignment horizontal="center" vertical="center" shrinkToFit="1"/>
      <protection locked="0"/>
    </xf>
    <xf numFmtId="0" fontId="9" fillId="4" borderId="6" xfId="37" applyFont="1" applyFill="1" applyBorder="1" applyAlignment="1" applyProtection="1">
      <alignment horizontal="center" vertical="center" shrinkToFit="1"/>
      <protection locked="0"/>
    </xf>
    <xf numFmtId="167" fontId="9" fillId="4" borderId="6" xfId="39" applyNumberFormat="1" applyFont="1" applyFill="1" applyBorder="1" applyAlignment="1" applyProtection="1">
      <alignment horizontal="center"/>
      <protection locked="0"/>
    </xf>
    <xf numFmtId="164" fontId="9" fillId="4" borderId="17" xfId="37" applyNumberFormat="1" applyFont="1" applyFill="1" applyBorder="1" applyAlignment="1" applyProtection="1">
      <alignment horizontal="center" vertical="center" shrinkToFit="1"/>
      <protection locked="0"/>
    </xf>
    <xf numFmtId="0" fontId="9" fillId="4" borderId="59" xfId="37" applyFont="1" applyFill="1" applyBorder="1" applyAlignment="1" applyProtection="1">
      <alignment horizontal="center" vertical="center" shrinkToFit="1"/>
      <protection locked="0"/>
    </xf>
    <xf numFmtId="167" fontId="9" fillId="4" borderId="59" xfId="39" applyNumberFormat="1" applyFont="1" applyFill="1" applyBorder="1" applyAlignment="1" applyProtection="1">
      <alignment horizontal="center"/>
      <protection locked="0"/>
    </xf>
    <xf numFmtId="10" fontId="9" fillId="4" borderId="32" xfId="46" applyNumberFormat="1" applyFont="1" applyFill="1" applyBorder="1" applyAlignment="1" applyProtection="1">
      <alignment horizontal="center" vertical="center" shrinkToFit="1"/>
      <protection locked="0"/>
    </xf>
    <xf numFmtId="10" fontId="9" fillId="4" borderId="59" xfId="46" applyNumberFormat="1" applyFont="1" applyFill="1" applyBorder="1" applyAlignment="1" applyProtection="1">
      <alignment horizontal="center" vertical="center" shrinkToFit="1"/>
      <protection locked="0"/>
    </xf>
    <xf numFmtId="10" fontId="9" fillId="4" borderId="6" xfId="46" applyNumberFormat="1" applyFont="1" applyFill="1" applyBorder="1" applyAlignment="1" applyProtection="1">
      <alignment horizontal="center" vertical="center" shrinkToFit="1"/>
      <protection locked="0"/>
    </xf>
    <xf numFmtId="164" fontId="9" fillId="0" borderId="60" xfId="37" applyNumberFormat="1" applyFont="1" applyBorder="1" applyAlignment="1">
      <alignment vertical="center"/>
    </xf>
    <xf numFmtId="164" fontId="9" fillId="0" borderId="59" xfId="37" applyNumberFormat="1" applyFont="1" applyBorder="1" applyAlignment="1">
      <alignment vertical="center"/>
    </xf>
    <xf numFmtId="164" fontId="9" fillId="0" borderId="61" xfId="37" applyNumberFormat="1" applyFont="1" applyBorder="1" applyAlignment="1">
      <alignment vertical="center"/>
    </xf>
    <xf numFmtId="164" fontId="11" fillId="0" borderId="41" xfId="37" applyNumberFormat="1" applyFont="1" applyBorder="1" applyAlignment="1">
      <alignment vertical="center"/>
    </xf>
    <xf numFmtId="0" fontId="45" fillId="3" borderId="0" xfId="0" applyFont="1" applyFill="1"/>
    <xf numFmtId="0" fontId="4" fillId="3" borderId="0" xfId="42" applyFont="1" applyFill="1"/>
    <xf numFmtId="0" fontId="5" fillId="3" borderId="0" xfId="42" applyFont="1" applyFill="1"/>
    <xf numFmtId="0" fontId="1" fillId="3" borderId="0" xfId="0" applyFont="1" applyFill="1" applyAlignment="1">
      <alignment horizontal="left" vertical="center" shrinkToFit="1"/>
    </xf>
    <xf numFmtId="0" fontId="1" fillId="3" borderId="9" xfId="0" quotePrefix="1" applyFont="1" applyFill="1" applyBorder="1" applyAlignment="1">
      <alignment horizontal="left" vertical="center" shrinkToFit="1"/>
    </xf>
    <xf numFmtId="49" fontId="1" fillId="3" borderId="13" xfId="0" applyNumberFormat="1" applyFont="1" applyFill="1" applyBorder="1" applyAlignment="1">
      <alignment horizontal="center" vertical="center" shrinkToFit="1"/>
    </xf>
    <xf numFmtId="0" fontId="1" fillId="4" borderId="32" xfId="37" applyFont="1" applyFill="1" applyBorder="1" applyAlignment="1" applyProtection="1">
      <alignment horizontal="center" vertical="center" shrinkToFit="1"/>
      <protection locked="0"/>
    </xf>
    <xf numFmtId="0" fontId="1" fillId="4" borderId="6" xfId="37" applyFont="1" applyFill="1" applyBorder="1" applyAlignment="1" applyProtection="1">
      <alignment horizontal="center" vertical="center" shrinkToFit="1"/>
      <protection locked="0"/>
    </xf>
    <xf numFmtId="0" fontId="1" fillId="4" borderId="59" xfId="37" applyFont="1" applyFill="1" applyBorder="1" applyAlignment="1" applyProtection="1">
      <alignment horizontal="center" vertical="center" shrinkToFit="1"/>
      <protection locked="0"/>
    </xf>
    <xf numFmtId="0" fontId="1" fillId="4" borderId="20" xfId="0" applyFont="1" applyFill="1" applyBorder="1" applyAlignment="1">
      <alignment horizontal="center" vertical="top" wrapText="1"/>
    </xf>
    <xf numFmtId="0" fontId="9" fillId="4" borderId="41" xfId="0" applyFont="1" applyFill="1" applyBorder="1" applyAlignment="1">
      <alignment horizontal="center" vertical="top" wrapText="1"/>
    </xf>
    <xf numFmtId="0" fontId="9" fillId="0" borderId="0" xfId="37" applyFont="1" applyAlignment="1">
      <alignment horizontal="center" shrinkToFit="1"/>
    </xf>
    <xf numFmtId="0" fontId="4" fillId="3" borderId="30" xfId="37" applyFont="1" applyFill="1" applyBorder="1" applyAlignment="1">
      <alignment vertical="center"/>
    </xf>
    <xf numFmtId="0" fontId="4" fillId="3" borderId="19" xfId="37" applyFont="1" applyFill="1" applyBorder="1" applyAlignment="1">
      <alignment vertical="center"/>
    </xf>
    <xf numFmtId="0" fontId="1" fillId="3" borderId="0" xfId="37" quotePrefix="1" applyFont="1" applyFill="1"/>
    <xf numFmtId="0" fontId="4" fillId="6" borderId="0" xfId="0" applyFont="1" applyFill="1" applyAlignment="1" applyProtection="1">
      <alignment vertical="center"/>
      <protection locked="0"/>
    </xf>
    <xf numFmtId="0" fontId="4" fillId="6" borderId="0" xfId="0" applyFont="1" applyFill="1" applyProtection="1">
      <protection locked="0"/>
    </xf>
    <xf numFmtId="0" fontId="4" fillId="3" borderId="14" xfId="0" applyFont="1" applyFill="1" applyBorder="1"/>
    <xf numFmtId="0" fontId="5" fillId="3" borderId="14" xfId="0" applyFont="1" applyFill="1" applyBorder="1"/>
    <xf numFmtId="0" fontId="5" fillId="3" borderId="33" xfId="0" applyFont="1" applyFill="1" applyBorder="1"/>
    <xf numFmtId="164" fontId="7" fillId="0" borderId="62" xfId="38" applyNumberFormat="1" applyFont="1" applyBorder="1" applyAlignment="1">
      <alignment horizontal="center" vertical="center"/>
    </xf>
    <xf numFmtId="164" fontId="14" fillId="0" borderId="0" xfId="38" applyNumberFormat="1" applyFont="1" applyAlignment="1">
      <alignment horizontal="center" vertical="center"/>
    </xf>
    <xf numFmtId="164" fontId="14" fillId="0" borderId="6" xfId="38" applyNumberFormat="1" applyFont="1" applyBorder="1" applyAlignment="1">
      <alignment horizontal="center" vertical="center"/>
    </xf>
    <xf numFmtId="164" fontId="14" fillId="0" borderId="19" xfId="38" applyNumberFormat="1" applyFont="1" applyBorder="1" applyAlignment="1">
      <alignment horizontal="center" vertical="center"/>
    </xf>
    <xf numFmtId="10" fontId="13" fillId="0" borderId="58" xfId="45" applyNumberFormat="1" applyFont="1" applyFill="1" applyBorder="1" applyAlignment="1" applyProtection="1">
      <alignment horizontal="center" vertical="center"/>
    </xf>
    <xf numFmtId="10" fontId="13" fillId="0" borderId="6" xfId="45" applyNumberFormat="1" applyFont="1" applyFill="1" applyBorder="1" applyAlignment="1" applyProtection="1">
      <alignment horizontal="center" vertical="center"/>
    </xf>
    <xf numFmtId="164" fontId="7" fillId="0" borderId="24" xfId="38" applyNumberFormat="1" applyFont="1" applyBorder="1" applyAlignment="1">
      <alignment horizontal="center" vertical="center"/>
    </xf>
    <xf numFmtId="164" fontId="14" fillId="0" borderId="33" xfId="38" applyNumberFormat="1" applyFont="1" applyBorder="1" applyAlignment="1">
      <alignment horizontal="center" vertical="center"/>
    </xf>
    <xf numFmtId="164" fontId="14" fillId="0" borderId="43" xfId="38" applyNumberFormat="1" applyFont="1" applyBorder="1" applyAlignment="1">
      <alignment horizontal="center" vertical="center"/>
    </xf>
    <xf numFmtId="164" fontId="14" fillId="0" borderId="23" xfId="38" applyNumberFormat="1" applyFont="1" applyBorder="1" applyAlignment="1">
      <alignment horizontal="center" vertical="center"/>
    </xf>
    <xf numFmtId="165" fontId="7" fillId="0" borderId="62" xfId="39" applyNumberFormat="1" applyFont="1" applyBorder="1" applyAlignment="1">
      <alignment horizontal="center" vertical="center"/>
    </xf>
    <xf numFmtId="165" fontId="13" fillId="0" borderId="2" xfId="39" applyNumberFormat="1" applyFont="1" applyBorder="1" applyAlignment="1">
      <alignment horizontal="center" vertical="center"/>
    </xf>
    <xf numFmtId="165" fontId="13" fillId="0" borderId="0" xfId="39" applyNumberFormat="1" applyFont="1" applyAlignment="1">
      <alignment horizontal="center" vertical="center"/>
    </xf>
    <xf numFmtId="165" fontId="7" fillId="0" borderId="24" xfId="39" applyNumberFormat="1" applyFont="1" applyBorder="1" applyAlignment="1">
      <alignment horizontal="center" vertical="center"/>
    </xf>
    <xf numFmtId="165" fontId="13" fillId="0" borderId="33" xfId="39" applyNumberFormat="1" applyFont="1" applyBorder="1" applyAlignment="1">
      <alignment horizontal="center" vertical="center"/>
    </xf>
    <xf numFmtId="0" fontId="14" fillId="3" borderId="45" xfId="38" applyFont="1" applyFill="1" applyBorder="1" applyAlignment="1">
      <alignment horizontal="left" vertical="center"/>
    </xf>
    <xf numFmtId="49" fontId="13" fillId="0" borderId="45" xfId="39" applyNumberFormat="1" applyFont="1" applyBorder="1" applyAlignment="1">
      <alignment horizontal="left"/>
    </xf>
    <xf numFmtId="49" fontId="13" fillId="0" borderId="46" xfId="39" applyNumberFormat="1" applyFont="1" applyBorder="1" applyAlignment="1">
      <alignment horizontal="left"/>
    </xf>
    <xf numFmtId="49" fontId="13" fillId="0" borderId="47" xfId="39" applyNumberFormat="1" applyFont="1" applyBorder="1" applyAlignment="1">
      <alignment horizontal="left"/>
    </xf>
    <xf numFmtId="49" fontId="13" fillId="0" borderId="28" xfId="39" applyNumberFormat="1" applyFont="1" applyBorder="1" applyAlignment="1">
      <alignment horizontal="left"/>
    </xf>
    <xf numFmtId="0" fontId="14" fillId="3" borderId="58" xfId="38" applyFont="1" applyFill="1" applyBorder="1" applyAlignment="1">
      <alignment horizontal="left" vertical="center"/>
    </xf>
    <xf numFmtId="49" fontId="14" fillId="0" borderId="6" xfId="38" applyNumberFormat="1" applyFont="1" applyBorder="1" applyAlignment="1">
      <alignment horizontal="left"/>
    </xf>
    <xf numFmtId="49" fontId="14" fillId="0" borderId="43" xfId="38" applyNumberFormat="1" applyFont="1" applyBorder="1" applyAlignment="1">
      <alignment horizontal="left"/>
    </xf>
    <xf numFmtId="49" fontId="13" fillId="0" borderId="58" xfId="39" applyNumberFormat="1" applyFont="1" applyBorder="1" applyAlignment="1">
      <alignment horizontal="left"/>
    </xf>
    <xf numFmtId="49" fontId="13" fillId="0" borderId="6" xfId="39" applyNumberFormat="1" applyFont="1" applyBorder="1" applyAlignment="1">
      <alignment horizontal="left"/>
    </xf>
    <xf numFmtId="49" fontId="13" fillId="0" borderId="43" xfId="39" applyNumberFormat="1" applyFont="1" applyBorder="1" applyAlignment="1">
      <alignment horizontal="left"/>
    </xf>
    <xf numFmtId="49" fontId="13" fillId="0" borderId="29" xfId="39" applyNumberFormat="1" applyFont="1" applyBorder="1" applyAlignment="1">
      <alignment horizontal="left"/>
    </xf>
    <xf numFmtId="0" fontId="13" fillId="3" borderId="0" xfId="37" applyFont="1" applyFill="1" applyAlignment="1">
      <alignment horizontal="left"/>
    </xf>
    <xf numFmtId="49" fontId="13" fillId="0" borderId="63" xfId="39" applyNumberFormat="1" applyFont="1" applyBorder="1" applyAlignment="1">
      <alignment horizontal="left"/>
    </xf>
    <xf numFmtId="49" fontId="13" fillId="0" borderId="64" xfId="39" applyNumberFormat="1" applyFont="1" applyBorder="1" applyAlignment="1">
      <alignment horizontal="left"/>
    </xf>
    <xf numFmtId="0" fontId="44" fillId="3" borderId="0" xfId="35" applyFont="1" applyFill="1" applyAlignment="1" applyProtection="1">
      <alignment horizontal="left"/>
      <protection locked="0"/>
    </xf>
    <xf numFmtId="0" fontId="38" fillId="3" borderId="14" xfId="37" applyFont="1" applyFill="1" applyBorder="1" applyAlignment="1">
      <alignment vertical="center"/>
    </xf>
    <xf numFmtId="0" fontId="38" fillId="3" borderId="29" xfId="37" applyFont="1" applyFill="1" applyBorder="1" applyAlignment="1">
      <alignment vertical="center"/>
    </xf>
    <xf numFmtId="0" fontId="38" fillId="3" borderId="28" xfId="37" applyFont="1" applyFill="1" applyBorder="1" applyAlignment="1">
      <alignment vertical="center"/>
    </xf>
    <xf numFmtId="0" fontId="37" fillId="0" borderId="14" xfId="39" applyFont="1" applyBorder="1" applyAlignment="1">
      <alignment vertical="center"/>
    </xf>
    <xf numFmtId="10" fontId="9" fillId="3" borderId="0" xfId="43" applyNumberFormat="1" applyFont="1" applyFill="1" applyAlignment="1" applyProtection="1">
      <alignment vertical="center"/>
    </xf>
    <xf numFmtId="0" fontId="4" fillId="6" borderId="0" xfId="0" applyFont="1" applyFill="1"/>
    <xf numFmtId="0" fontId="13" fillId="0" borderId="28" xfId="39" applyFont="1" applyBorder="1" applyAlignment="1">
      <alignment vertical="center"/>
    </xf>
    <xf numFmtId="0" fontId="13" fillId="0" borderId="14" xfId="39" applyFont="1" applyBorder="1" applyAlignment="1">
      <alignment vertical="center"/>
    </xf>
    <xf numFmtId="164" fontId="14" fillId="0" borderId="0" xfId="39" applyNumberFormat="1" applyFont="1" applyAlignment="1">
      <alignment horizontal="center" vertical="center"/>
    </xf>
    <xf numFmtId="0" fontId="13" fillId="0" borderId="0" xfId="39" applyFont="1" applyAlignment="1">
      <alignment vertical="center"/>
    </xf>
    <xf numFmtId="0" fontId="13" fillId="0" borderId="29" xfId="39" applyFont="1" applyBorder="1" applyAlignment="1">
      <alignment vertical="center"/>
    </xf>
    <xf numFmtId="165" fontId="13" fillId="0" borderId="64" xfId="39" applyNumberFormat="1" applyFont="1" applyBorder="1" applyAlignment="1">
      <alignment horizontal="center" vertical="center"/>
    </xf>
    <xf numFmtId="165" fontId="13" fillId="0" borderId="65" xfId="39" applyNumberFormat="1" applyFont="1" applyBorder="1" applyAlignment="1">
      <alignment horizontal="center" vertical="center"/>
    </xf>
    <xf numFmtId="165" fontId="13" fillId="0" borderId="6" xfId="39" applyNumberFormat="1" applyFont="1" applyBorder="1" applyAlignment="1">
      <alignment horizontal="center" vertical="center"/>
    </xf>
    <xf numFmtId="165" fontId="13" fillId="0" borderId="19" xfId="39" applyNumberFormat="1" applyFont="1" applyBorder="1" applyAlignment="1">
      <alignment horizontal="center" vertical="center"/>
    </xf>
    <xf numFmtId="165" fontId="13" fillId="0" borderId="43" xfId="39" applyNumberFormat="1" applyFont="1" applyBorder="1" applyAlignment="1">
      <alignment horizontal="center" vertical="center"/>
    </xf>
    <xf numFmtId="165" fontId="13" fillId="0" borderId="23" xfId="39" applyNumberFormat="1" applyFont="1" applyBorder="1" applyAlignment="1">
      <alignment horizontal="center" vertical="center"/>
    </xf>
    <xf numFmtId="6" fontId="13" fillId="0" borderId="28" xfId="39" applyNumberFormat="1" applyFont="1" applyBorder="1" applyAlignment="1">
      <alignment horizontal="left"/>
    </xf>
    <xf numFmtId="10" fontId="13" fillId="0" borderId="28" xfId="39" applyNumberFormat="1" applyFont="1" applyBorder="1" applyAlignment="1">
      <alignment horizontal="left"/>
    </xf>
    <xf numFmtId="49" fontId="36" fillId="4" borderId="59" xfId="0" applyNumberFormat="1" applyFont="1" applyFill="1" applyBorder="1" applyAlignment="1">
      <alignment horizontal="center" vertical="center"/>
    </xf>
    <xf numFmtId="10" fontId="13" fillId="0" borderId="43" xfId="45" applyNumberFormat="1" applyFont="1" applyFill="1" applyBorder="1" applyAlignment="1" applyProtection="1">
      <alignment horizontal="center" vertical="center"/>
    </xf>
    <xf numFmtId="49" fontId="7" fillId="0" borderId="37" xfId="38" applyNumberFormat="1" applyFont="1" applyBorder="1" applyAlignment="1">
      <alignment horizontal="left"/>
    </xf>
    <xf numFmtId="10" fontId="34" fillId="0" borderId="40" xfId="45" applyNumberFormat="1" applyFont="1" applyFill="1" applyBorder="1" applyAlignment="1" applyProtection="1">
      <alignment horizontal="center" vertical="center"/>
    </xf>
    <xf numFmtId="1" fontId="13" fillId="0" borderId="0" xfId="45" applyNumberFormat="1" applyFont="1" applyFill="1" applyBorder="1" applyAlignment="1" applyProtection="1">
      <alignment horizontal="center" vertical="center"/>
    </xf>
    <xf numFmtId="1" fontId="13" fillId="0" borderId="33" xfId="45" applyNumberFormat="1" applyFont="1" applyFill="1" applyBorder="1" applyAlignment="1" applyProtection="1">
      <alignment horizontal="center" vertical="center"/>
    </xf>
    <xf numFmtId="1" fontId="14" fillId="0" borderId="0" xfId="38" applyNumberFormat="1" applyFont="1" applyAlignment="1">
      <alignment horizontal="center"/>
    </xf>
    <xf numFmtId="1" fontId="14" fillId="0" borderId="33" xfId="38" applyNumberFormat="1" applyFont="1" applyBorder="1" applyAlignment="1">
      <alignment horizontal="center"/>
    </xf>
    <xf numFmtId="10" fontId="13" fillId="3" borderId="0" xfId="43" applyNumberFormat="1" applyFont="1" applyFill="1" applyProtection="1"/>
    <xf numFmtId="1" fontId="9" fillId="4" borderId="32" xfId="39" applyNumberFormat="1" applyFont="1" applyFill="1" applyBorder="1" applyAlignment="1" applyProtection="1">
      <alignment horizontal="center"/>
      <protection locked="0"/>
    </xf>
    <xf numFmtId="1" fontId="9" fillId="4" borderId="59" xfId="46" applyNumberFormat="1" applyFont="1" applyFill="1" applyBorder="1" applyAlignment="1" applyProtection="1">
      <alignment horizontal="center" vertical="center" shrinkToFit="1"/>
      <protection locked="0"/>
    </xf>
    <xf numFmtId="1" fontId="9" fillId="4" borderId="6" xfId="46" applyNumberFormat="1" applyFont="1" applyFill="1" applyBorder="1" applyAlignment="1" applyProtection="1">
      <alignment horizontal="center" vertical="center" shrinkToFit="1"/>
      <protection locked="0"/>
    </xf>
    <xf numFmtId="0" fontId="9" fillId="4" borderId="16" xfId="0" applyFont="1" applyFill="1" applyBorder="1" applyAlignment="1">
      <alignment horizontal="centerContinuous" vertical="top"/>
    </xf>
    <xf numFmtId="0" fontId="9" fillId="4" borderId="33" xfId="0" applyFont="1" applyFill="1" applyBorder="1" applyAlignment="1">
      <alignment horizontal="center" vertical="top" wrapText="1"/>
    </xf>
    <xf numFmtId="10" fontId="9" fillId="0" borderId="0" xfId="44" applyNumberFormat="1" applyFont="1" applyFill="1" applyBorder="1" applyAlignment="1" applyProtection="1">
      <alignment horizontal="center" shrinkToFit="1"/>
    </xf>
    <xf numFmtId="165" fontId="9" fillId="5" borderId="33" xfId="44" applyNumberFormat="1" applyFont="1" applyFill="1" applyBorder="1" applyAlignment="1" applyProtection="1">
      <alignment horizontal="center"/>
    </xf>
    <xf numFmtId="10" fontId="9" fillId="0" borderId="16" xfId="44" applyNumberFormat="1" applyFont="1" applyFill="1" applyBorder="1" applyAlignment="1" applyProtection="1">
      <alignment horizontal="center" shrinkToFit="1"/>
    </xf>
    <xf numFmtId="0" fontId="9" fillId="4" borderId="71" xfId="0" applyFont="1" applyFill="1" applyBorder="1" applyAlignment="1">
      <alignment horizontal="center" vertical="top" wrapText="1"/>
    </xf>
    <xf numFmtId="1" fontId="9" fillId="0" borderId="0" xfId="44" applyNumberFormat="1" applyFont="1" applyFill="1" applyBorder="1" applyAlignment="1" applyProtection="1">
      <alignment horizontal="center" shrinkToFit="1"/>
    </xf>
    <xf numFmtId="0" fontId="1" fillId="4" borderId="75" xfId="0" applyFont="1" applyFill="1" applyBorder="1" applyAlignment="1">
      <alignment horizontal="center" vertical="top" wrapText="1"/>
    </xf>
    <xf numFmtId="0" fontId="49" fillId="0" borderId="0" xfId="0" applyFont="1" applyAlignment="1">
      <alignment vertical="center"/>
    </xf>
    <xf numFmtId="10" fontId="13" fillId="0" borderId="0" xfId="43" applyNumberFormat="1" applyFont="1" applyFill="1" applyProtection="1"/>
    <xf numFmtId="164" fontId="14" fillId="0" borderId="19" xfId="39" applyNumberFormat="1" applyFont="1" applyBorder="1" applyAlignment="1">
      <alignment horizontal="left" vertical="center"/>
    </xf>
    <xf numFmtId="164" fontId="14" fillId="0" borderId="23" xfId="39" applyNumberFormat="1" applyFont="1" applyBorder="1" applyAlignment="1">
      <alignment horizontal="left" vertical="center"/>
    </xf>
    <xf numFmtId="38" fontId="13" fillId="3" borderId="0" xfId="37" applyNumberFormat="1" applyFont="1" applyFill="1"/>
    <xf numFmtId="0" fontId="41" fillId="4" borderId="14" xfId="35" applyFont="1" applyFill="1" applyBorder="1" applyAlignment="1" applyProtection="1">
      <alignment horizontal="center" vertical="center"/>
      <protection locked="0"/>
    </xf>
    <xf numFmtId="0" fontId="1" fillId="3" borderId="13" xfId="0" applyFont="1" applyFill="1" applyBorder="1" applyAlignment="1">
      <alignment horizontal="left" vertical="center" indent="1" shrinkToFit="1"/>
    </xf>
    <xf numFmtId="0" fontId="9" fillId="3" borderId="0" xfId="0" applyFont="1" applyFill="1" applyAlignment="1">
      <alignment horizontal="left" vertical="center" indent="1" shrinkToFit="1"/>
    </xf>
    <xf numFmtId="0" fontId="5" fillId="4" borderId="66" xfId="37" applyFont="1" applyFill="1" applyBorder="1" applyAlignment="1">
      <alignment horizontal="center" vertical="center" textRotation="90"/>
    </xf>
    <xf numFmtId="0" fontId="5" fillId="4" borderId="62" xfId="37" applyFont="1" applyFill="1" applyBorder="1" applyAlignment="1">
      <alignment horizontal="center" vertical="center" textRotation="90"/>
    </xf>
    <xf numFmtId="0" fontId="5" fillId="4" borderId="67" xfId="37" applyFont="1" applyFill="1" applyBorder="1" applyAlignment="1">
      <alignment horizontal="center" vertical="center" textRotation="90"/>
    </xf>
    <xf numFmtId="49" fontId="9" fillId="3" borderId="68" xfId="0" applyNumberFormat="1" applyFont="1" applyFill="1" applyBorder="1" applyAlignment="1">
      <alignment horizontal="left" vertical="center" indent="1" shrinkToFit="1"/>
    </xf>
    <xf numFmtId="49" fontId="9" fillId="3" borderId="69" xfId="0" applyNumberFormat="1" applyFont="1" applyFill="1" applyBorder="1" applyAlignment="1">
      <alignment horizontal="left" vertical="center" indent="1" shrinkToFit="1"/>
    </xf>
    <xf numFmtId="49" fontId="9" fillId="3" borderId="70" xfId="0" applyNumberFormat="1" applyFont="1" applyFill="1" applyBorder="1" applyAlignment="1">
      <alignment horizontal="left" vertical="center" indent="1" shrinkToFit="1"/>
    </xf>
    <xf numFmtId="49" fontId="11" fillId="3" borderId="71" xfId="0" applyNumberFormat="1" applyFont="1" applyFill="1" applyBorder="1" applyAlignment="1">
      <alignment horizontal="left" vertical="center" indent="1" shrinkToFit="1"/>
    </xf>
    <xf numFmtId="49" fontId="11" fillId="3" borderId="72" xfId="0" applyNumberFormat="1" applyFont="1" applyFill="1" applyBorder="1" applyAlignment="1">
      <alignment horizontal="left" vertical="center" indent="1" shrinkToFit="1"/>
    </xf>
    <xf numFmtId="49" fontId="11" fillId="3" borderId="73" xfId="0" applyNumberFormat="1" applyFont="1" applyFill="1" applyBorder="1" applyAlignment="1">
      <alignment horizontal="left" vertical="center" indent="1" shrinkToFit="1"/>
    </xf>
    <xf numFmtId="0" fontId="5" fillId="4" borderId="74" xfId="37" applyFont="1" applyFill="1" applyBorder="1" applyAlignment="1">
      <alignment horizontal="center" vertical="center" textRotation="90"/>
    </xf>
    <xf numFmtId="0" fontId="5" fillId="4" borderId="24" xfId="37" applyFont="1" applyFill="1" applyBorder="1" applyAlignment="1">
      <alignment horizontal="center" vertical="center" textRotation="90"/>
    </xf>
    <xf numFmtId="0" fontId="9" fillId="3" borderId="13" xfId="0" applyFont="1" applyFill="1" applyBorder="1" applyAlignment="1">
      <alignment horizontal="left" vertical="center" indent="1" shrinkToFit="1"/>
    </xf>
    <xf numFmtId="0" fontId="9" fillId="3" borderId="18" xfId="0" applyFont="1" applyFill="1" applyBorder="1" applyAlignment="1">
      <alignment horizontal="left" vertical="center" indent="1" shrinkToFit="1"/>
    </xf>
    <xf numFmtId="0" fontId="9" fillId="3" borderId="16" xfId="0" applyFont="1" applyFill="1" applyBorder="1" applyAlignment="1">
      <alignment horizontal="left" vertical="center" indent="1" shrinkToFit="1"/>
    </xf>
    <xf numFmtId="0" fontId="14" fillId="3" borderId="28" xfId="38" applyFont="1" applyFill="1" applyBorder="1" applyAlignment="1">
      <alignment horizontal="left" vertical="center"/>
    </xf>
    <xf numFmtId="0" fontId="14" fillId="3" borderId="14" xfId="38" applyFont="1" applyFill="1" applyBorder="1" applyAlignment="1">
      <alignment horizontal="left" vertical="center"/>
    </xf>
    <xf numFmtId="0" fontId="14" fillId="3" borderId="29" xfId="38" applyFont="1" applyFill="1" applyBorder="1" applyAlignment="1">
      <alignment horizontal="left" vertical="center"/>
    </xf>
    <xf numFmtId="0" fontId="7" fillId="4" borderId="45" xfId="38" applyFont="1" applyFill="1" applyBorder="1" applyAlignment="1">
      <alignment horizontal="center" vertical="center"/>
    </xf>
    <xf numFmtId="0" fontId="7" fillId="4" borderId="16" xfId="38" applyFont="1" applyFill="1" applyBorder="1" applyAlignment="1">
      <alignment horizontal="center" vertical="center"/>
    </xf>
    <xf numFmtId="0" fontId="7" fillId="4" borderId="58" xfId="38" applyFont="1" applyFill="1" applyBorder="1" applyAlignment="1">
      <alignment horizontal="center" vertical="center"/>
    </xf>
    <xf numFmtId="0" fontId="7" fillId="4" borderId="47" xfId="38" applyFont="1" applyFill="1" applyBorder="1" applyAlignment="1">
      <alignment horizontal="center" vertical="center"/>
    </xf>
    <xf numFmtId="0" fontId="7" fillId="4" borderId="33" xfId="38" applyFont="1" applyFill="1" applyBorder="1" applyAlignment="1">
      <alignment horizontal="center" vertical="center"/>
    </xf>
    <xf numFmtId="0" fontId="7" fillId="4" borderId="43" xfId="38" applyFont="1" applyFill="1" applyBorder="1" applyAlignment="1">
      <alignment horizontal="center" vertical="center"/>
    </xf>
    <xf numFmtId="10" fontId="34" fillId="0" borderId="38" xfId="45" applyNumberFormat="1" applyFont="1" applyFill="1" applyBorder="1" applyAlignment="1" applyProtection="1">
      <alignment horizontal="center" vertical="center"/>
    </xf>
  </cellXfs>
  <cellStyles count="78">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6A" xfId="24" xr:uid="{00000000-0005-0000-0000-000017000000}"/>
    <cellStyle name="C06B" xfId="25" xr:uid="{00000000-0005-0000-0000-000018000000}"/>
    <cellStyle name="C06H" xfId="26" xr:uid="{00000000-0005-0000-0000-000019000000}"/>
    <cellStyle name="C06L" xfId="27" xr:uid="{00000000-0005-0000-0000-00001A000000}"/>
    <cellStyle name="C07A" xfId="28" xr:uid="{00000000-0005-0000-0000-00001B000000}"/>
    <cellStyle name="C07B" xfId="29" xr:uid="{00000000-0005-0000-0000-00001C000000}"/>
    <cellStyle name="C07H" xfId="30" xr:uid="{00000000-0005-0000-0000-00001D000000}"/>
    <cellStyle name="C07L" xfId="31" xr:uid="{00000000-0005-0000-0000-00001E000000}"/>
    <cellStyle name="Comma 2" xfId="32" xr:uid="{00000000-0005-0000-0000-00001F000000}"/>
    <cellStyle name="Comma 3" xfId="33" xr:uid="{00000000-0005-0000-0000-000020000000}"/>
    <cellStyle name="Currency 2" xfId="34" xr:uid="{00000000-0005-0000-0000-000021000000}"/>
    <cellStyle name="Hyperlink" xfId="35" builtinId="8"/>
    <cellStyle name="Normal" xfId="0" builtinId="0"/>
    <cellStyle name="Normal 11" xfId="36" xr:uid="{00000000-0005-0000-0000-000024000000}"/>
    <cellStyle name="Normal 2" xfId="37" xr:uid="{00000000-0005-0000-0000-000025000000}"/>
    <cellStyle name="Normal 2 2" xfId="38" xr:uid="{00000000-0005-0000-0000-000026000000}"/>
    <cellStyle name="Normal 2 3 2" xfId="39" xr:uid="{00000000-0005-0000-0000-000027000000}"/>
    <cellStyle name="Normal 3" xfId="40" xr:uid="{00000000-0005-0000-0000-000028000000}"/>
    <cellStyle name="Normal 4" xfId="41" xr:uid="{00000000-0005-0000-0000-000029000000}"/>
    <cellStyle name="Normal_FY11 Allocation - Fringe Calculator" xfId="42" xr:uid="{00000000-0005-0000-0000-00002A000000}"/>
    <cellStyle name="Percent" xfId="43" builtinId="5"/>
    <cellStyle name="Percent 2" xfId="44" xr:uid="{00000000-0005-0000-0000-00002C000000}"/>
    <cellStyle name="Percent 2 2" xfId="45" xr:uid="{00000000-0005-0000-0000-00002D000000}"/>
    <cellStyle name="Percent 3" xfId="46" xr:uid="{00000000-0005-0000-0000-00002E000000}"/>
    <cellStyle name="R00A" xfId="47" xr:uid="{00000000-0005-0000-0000-00002F000000}"/>
    <cellStyle name="R00B" xfId="48" xr:uid="{00000000-0005-0000-0000-000030000000}"/>
    <cellStyle name="R00L" xfId="49" xr:uid="{00000000-0005-0000-0000-000031000000}"/>
    <cellStyle name="R01A" xfId="50" xr:uid="{00000000-0005-0000-0000-000032000000}"/>
    <cellStyle name="R01B" xfId="51" xr:uid="{00000000-0005-0000-0000-000033000000}"/>
    <cellStyle name="R01H" xfId="52" xr:uid="{00000000-0005-0000-0000-000034000000}"/>
    <cellStyle name="R01L" xfId="53" xr:uid="{00000000-0005-0000-0000-000035000000}"/>
    <cellStyle name="R02A" xfId="54" xr:uid="{00000000-0005-0000-0000-000036000000}"/>
    <cellStyle name="R02B" xfId="55" xr:uid="{00000000-0005-0000-0000-000037000000}"/>
    <cellStyle name="R02H" xfId="56" xr:uid="{00000000-0005-0000-0000-000038000000}"/>
    <cellStyle name="R02L" xfId="57" xr:uid="{00000000-0005-0000-0000-000039000000}"/>
    <cellStyle name="R03A" xfId="58" xr:uid="{00000000-0005-0000-0000-00003A000000}"/>
    <cellStyle name="R03B" xfId="59" xr:uid="{00000000-0005-0000-0000-00003B000000}"/>
    <cellStyle name="R03H" xfId="60" xr:uid="{00000000-0005-0000-0000-00003C000000}"/>
    <cellStyle name="R03L" xfId="61" xr:uid="{00000000-0005-0000-0000-00003D000000}"/>
    <cellStyle name="R04A" xfId="62" xr:uid="{00000000-0005-0000-0000-00003E000000}"/>
    <cellStyle name="R04B" xfId="63" xr:uid="{00000000-0005-0000-0000-00003F000000}"/>
    <cellStyle name="R04H" xfId="64" xr:uid="{00000000-0005-0000-0000-000040000000}"/>
    <cellStyle name="R04L" xfId="65" xr:uid="{00000000-0005-0000-0000-000041000000}"/>
    <cellStyle name="R05A" xfId="66" xr:uid="{00000000-0005-0000-0000-000042000000}"/>
    <cellStyle name="R05B" xfId="67" xr:uid="{00000000-0005-0000-0000-000043000000}"/>
    <cellStyle name="R05H" xfId="68" xr:uid="{00000000-0005-0000-0000-000044000000}"/>
    <cellStyle name="R05L" xfId="69" xr:uid="{00000000-0005-0000-0000-000045000000}"/>
    <cellStyle name="R06A" xfId="70" xr:uid="{00000000-0005-0000-0000-000046000000}"/>
    <cellStyle name="R06B" xfId="71" xr:uid="{00000000-0005-0000-0000-000047000000}"/>
    <cellStyle name="R06H" xfId="72" xr:uid="{00000000-0005-0000-0000-000048000000}"/>
    <cellStyle name="R06L" xfId="73" xr:uid="{00000000-0005-0000-0000-000049000000}"/>
    <cellStyle name="R07A" xfId="74" xr:uid="{00000000-0005-0000-0000-00004A000000}"/>
    <cellStyle name="R07B" xfId="75" xr:uid="{00000000-0005-0000-0000-00004B000000}"/>
    <cellStyle name="R07H" xfId="76" xr:uid="{00000000-0005-0000-0000-00004C000000}"/>
    <cellStyle name="R07L" xfId="77" xr:uid="{00000000-0005-0000-0000-00004D000000}"/>
  </cellStyles>
  <dxfs count="47">
    <dxf>
      <font>
        <color indexed="10"/>
      </font>
      <fill>
        <patternFill>
          <bgColor indexed="8"/>
        </patternFill>
      </fill>
    </dxf>
    <dxf>
      <fill>
        <patternFill>
          <bgColor indexed="10"/>
        </patternFill>
      </fill>
    </dxf>
    <dxf>
      <font>
        <condense val="0"/>
        <extend val="0"/>
        <color indexed="9"/>
      </font>
    </dxf>
    <dxf>
      <font>
        <condense val="0"/>
        <extend val="0"/>
        <color indexed="10"/>
      </font>
      <fill>
        <patternFill>
          <bgColor indexed="10"/>
        </patternFill>
      </fill>
    </dxf>
    <dxf>
      <font>
        <condense val="0"/>
        <extend val="0"/>
        <color indexed="9"/>
      </font>
    </dxf>
    <dxf>
      <font>
        <condense val="0"/>
        <extend val="0"/>
        <color indexed="10"/>
      </font>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indexed="10"/>
      </font>
      <fill>
        <patternFill>
          <bgColor indexed="8"/>
        </patternFill>
      </fill>
    </dxf>
    <dxf>
      <fill>
        <patternFill>
          <bgColor indexed="10"/>
        </patternFill>
      </fill>
    </dxf>
    <dxf>
      <fill>
        <patternFill>
          <bgColor rgb="FF99CCFF"/>
        </patternFill>
      </fill>
    </dxf>
    <dxf>
      <font>
        <color rgb="FFFF0000"/>
      </font>
      <fill>
        <patternFill>
          <bgColor theme="1"/>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ndense val="0"/>
        <extend val="0"/>
        <color indexed="10"/>
      </font>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theme="0"/>
      </font>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ill>
        <patternFill>
          <bgColor indexed="10"/>
        </patternFill>
      </fill>
    </dxf>
    <dxf>
      <font>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theme="0"/>
      </font>
    </dxf>
    <dxf>
      <fill>
        <patternFill>
          <fgColor rgb="FFFFFFCC"/>
        </patternFill>
      </fill>
    </dxf>
    <dxf>
      <font>
        <b/>
        <i val="0"/>
        <color auto="1"/>
      </font>
      <fill>
        <patternFill>
          <bgColor theme="3" tint="0.59996337778862885"/>
        </patternFill>
      </fill>
    </dxf>
  </dxfs>
  <tableStyles count="2" defaultTableStyle="TableStyleMedium9" defaultPivotStyle="PivotStyleLight16">
    <tableStyle name="PivotTable Style 1" table="0" count="1" xr9:uid="{00000000-0011-0000-FFFF-FFFF00000000}">
      <tableStyleElement type="firstSubtotalColumn" dxfId="46"/>
    </tableStyle>
    <tableStyle name="PivotTable Style 2" table="0" count="1" xr9:uid="{00000000-0011-0000-FFFF-FFFF01000000}">
      <tableStyleElement type="firstSubtotalRow"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60960</xdr:colOff>
      <xdr:row>112</xdr:row>
      <xdr:rowOff>0</xdr:rowOff>
    </xdr:from>
    <xdr:to>
      <xdr:col>28</xdr:col>
      <xdr:colOff>91440</xdr:colOff>
      <xdr:row>134</xdr:row>
      <xdr:rowOff>38100</xdr:rowOff>
    </xdr:to>
    <xdr:pic>
      <xdr:nvPicPr>
        <xdr:cNvPr id="1709" name="Picture 8" descr="fc-02.png">
          <a:extLst>
            <a:ext uri="{FF2B5EF4-FFF2-40B4-BE49-F238E27FC236}">
              <a16:creationId xmlns:a16="http://schemas.microsoft.com/office/drawing/2014/main" id="{00000000-0008-0000-0000-0000AD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879854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83</xdr:row>
      <xdr:rowOff>0</xdr:rowOff>
    </xdr:from>
    <xdr:to>
      <xdr:col>28</xdr:col>
      <xdr:colOff>91440</xdr:colOff>
      <xdr:row>105</xdr:row>
      <xdr:rowOff>38100</xdr:rowOff>
    </xdr:to>
    <xdr:pic>
      <xdr:nvPicPr>
        <xdr:cNvPr id="1710" name="Picture 10" descr="fc-01.png">
          <a:extLst>
            <a:ext uri="{FF2B5EF4-FFF2-40B4-BE49-F238E27FC236}">
              <a16:creationId xmlns:a16="http://schemas.microsoft.com/office/drawing/2014/main" id="{00000000-0008-0000-0000-0000AE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139369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138</xdr:row>
      <xdr:rowOff>0</xdr:rowOff>
    </xdr:from>
    <xdr:to>
      <xdr:col>28</xdr:col>
      <xdr:colOff>91440</xdr:colOff>
      <xdr:row>160</xdr:row>
      <xdr:rowOff>38100</xdr:rowOff>
    </xdr:to>
    <xdr:pic>
      <xdr:nvPicPr>
        <xdr:cNvPr id="1711" name="Picture 11" descr="fc-03.png">
          <a:extLst>
            <a:ext uri="{FF2B5EF4-FFF2-40B4-BE49-F238E27FC236}">
              <a16:creationId xmlns:a16="http://schemas.microsoft.com/office/drawing/2014/main" id="{00000000-0008-0000-0000-0000AF0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231571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174</xdr:row>
      <xdr:rowOff>0</xdr:rowOff>
    </xdr:from>
    <xdr:to>
      <xdr:col>38</xdr:col>
      <xdr:colOff>106680</xdr:colOff>
      <xdr:row>196</xdr:row>
      <xdr:rowOff>30480</xdr:rowOff>
    </xdr:to>
    <xdr:pic>
      <xdr:nvPicPr>
        <xdr:cNvPr id="1712" name="Picture 13" descr="fc-04.png">
          <a:extLst>
            <a:ext uri="{FF2B5EF4-FFF2-40B4-BE49-F238E27FC236}">
              <a16:creationId xmlns:a16="http://schemas.microsoft.com/office/drawing/2014/main" id="{00000000-0008-0000-0000-0000B00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2919984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233</xdr:row>
      <xdr:rowOff>144780</xdr:rowOff>
    </xdr:from>
    <xdr:to>
      <xdr:col>47</xdr:col>
      <xdr:colOff>91440</xdr:colOff>
      <xdr:row>248</xdr:row>
      <xdr:rowOff>121920</xdr:rowOff>
    </xdr:to>
    <xdr:pic>
      <xdr:nvPicPr>
        <xdr:cNvPr id="1713" name="Picture 14" descr="fc-05.png">
          <a:extLst>
            <a:ext uri="{FF2B5EF4-FFF2-40B4-BE49-F238E27FC236}">
              <a16:creationId xmlns:a16="http://schemas.microsoft.com/office/drawing/2014/main" id="{00000000-0008-0000-0000-0000B10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 y="39243000"/>
          <a:ext cx="7726680" cy="249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313</xdr:row>
      <xdr:rowOff>106680</xdr:rowOff>
    </xdr:from>
    <xdr:to>
      <xdr:col>47</xdr:col>
      <xdr:colOff>76200</xdr:colOff>
      <xdr:row>328</xdr:row>
      <xdr:rowOff>106680</xdr:rowOff>
    </xdr:to>
    <xdr:pic>
      <xdr:nvPicPr>
        <xdr:cNvPr id="1714" name="Picture 18" descr="fc-08.png">
          <a:extLst>
            <a:ext uri="{FF2B5EF4-FFF2-40B4-BE49-F238E27FC236}">
              <a16:creationId xmlns:a16="http://schemas.microsoft.com/office/drawing/2014/main" id="{00000000-0008-0000-0000-0000B206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4340" y="52623720"/>
          <a:ext cx="771144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202</xdr:row>
      <xdr:rowOff>160020</xdr:rowOff>
    </xdr:from>
    <xdr:to>
      <xdr:col>38</xdr:col>
      <xdr:colOff>106680</xdr:colOff>
      <xdr:row>225</xdr:row>
      <xdr:rowOff>22860</xdr:rowOff>
    </xdr:to>
    <xdr:pic>
      <xdr:nvPicPr>
        <xdr:cNvPr id="1715" name="Picture 13" descr="fc-04.png">
          <a:extLst>
            <a:ext uri="{FF2B5EF4-FFF2-40B4-BE49-F238E27FC236}">
              <a16:creationId xmlns:a16="http://schemas.microsoft.com/office/drawing/2014/main" id="{00000000-0008-0000-0000-0000B306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3400" y="3405378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262</xdr:row>
      <xdr:rowOff>0</xdr:rowOff>
    </xdr:from>
    <xdr:to>
      <xdr:col>47</xdr:col>
      <xdr:colOff>91440</xdr:colOff>
      <xdr:row>276</xdr:row>
      <xdr:rowOff>137160</xdr:rowOff>
    </xdr:to>
    <xdr:pic>
      <xdr:nvPicPr>
        <xdr:cNvPr id="1716" name="Picture 14" descr="fc-05.png">
          <a:extLst>
            <a:ext uri="{FF2B5EF4-FFF2-40B4-BE49-F238E27FC236}">
              <a16:creationId xmlns:a16="http://schemas.microsoft.com/office/drawing/2014/main" id="{00000000-0008-0000-0000-0000B4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4340" y="4395978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281</xdr:row>
      <xdr:rowOff>0</xdr:rowOff>
    </xdr:from>
    <xdr:to>
      <xdr:col>47</xdr:col>
      <xdr:colOff>91440</xdr:colOff>
      <xdr:row>295</xdr:row>
      <xdr:rowOff>137160</xdr:rowOff>
    </xdr:to>
    <xdr:pic>
      <xdr:nvPicPr>
        <xdr:cNvPr id="1717" name="Picture 14" descr="fc-05.png">
          <a:extLst>
            <a:ext uri="{FF2B5EF4-FFF2-40B4-BE49-F238E27FC236}">
              <a16:creationId xmlns:a16="http://schemas.microsoft.com/office/drawing/2014/main" id="{00000000-0008-0000-0000-0000B5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4340" y="4714494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autoPageBreaks="0"/>
  </sheetPr>
  <dimension ref="A1:AZ435"/>
  <sheetViews>
    <sheetView showRowColHeaders="0" zoomScaleNormal="100" zoomScaleSheetLayoutView="70" workbookViewId="0">
      <pane xSplit="1" ySplit="5" topLeftCell="B308" activePane="bottomRight" state="frozen"/>
      <selection pane="topRight" activeCell="B1" sqref="B1"/>
      <selection pane="bottomLeft" activeCell="A5" sqref="A5"/>
      <selection pane="bottomRight" activeCell="D339" sqref="D339"/>
    </sheetView>
  </sheetViews>
  <sheetFormatPr defaultColWidth="0" defaultRowHeight="12.75"/>
  <cols>
    <col min="1" max="1" width="2.42578125" style="183" hidden="1" customWidth="1"/>
    <col min="2" max="2" width="1.42578125" style="140" customWidth="1"/>
    <col min="3" max="3" width="2.42578125" style="140" customWidth="1"/>
    <col min="4" max="4" width="2.42578125" style="141" customWidth="1"/>
    <col min="5" max="5" width="8.7109375" style="140" customWidth="1"/>
    <col min="6" max="51" width="2.42578125" style="140" customWidth="1"/>
    <col min="52" max="52" width="1.42578125" style="140" customWidth="1"/>
    <col min="53" max="16384" width="1.7109375" style="140" hidden="1"/>
  </cols>
  <sheetData>
    <row r="1" spans="1:51" ht="16.5" thickBot="1">
      <c r="C1" s="145" t="str">
        <f>Formula_heading</f>
        <v>FY2024 Allocation - Fringe Calculator - Instructions</v>
      </c>
      <c r="D1" s="61"/>
      <c r="E1" s="61"/>
      <c r="F1" s="61"/>
      <c r="G1" s="61"/>
      <c r="H1" s="61"/>
      <c r="I1" s="62"/>
      <c r="J1" s="61"/>
      <c r="K1" s="62"/>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row>
    <row r="2" spans="1:51" ht="8.25" customHeight="1"/>
    <row r="3" spans="1:51" ht="8.25" customHeight="1" thickBot="1"/>
    <row r="4" spans="1:51" s="151" customFormat="1" ht="21" customHeight="1" thickBot="1">
      <c r="A4" s="182"/>
      <c r="B4" s="147"/>
      <c r="C4" s="148"/>
      <c r="D4" s="149"/>
      <c r="E4" s="262" t="s">
        <v>178</v>
      </c>
      <c r="F4" s="262"/>
      <c r="G4" s="149"/>
      <c r="H4" s="262" t="s">
        <v>177</v>
      </c>
      <c r="I4" s="262"/>
      <c r="J4" s="262"/>
      <c r="K4" s="262"/>
      <c r="L4" s="262"/>
      <c r="M4" s="262"/>
      <c r="N4" s="262"/>
      <c r="O4" s="149"/>
      <c r="P4" s="262" t="s">
        <v>138</v>
      </c>
      <c r="Q4" s="262"/>
      <c r="R4" s="262"/>
      <c r="S4" s="262"/>
      <c r="T4" s="262"/>
      <c r="U4" s="262"/>
      <c r="V4" s="149"/>
      <c r="W4" s="262" t="s">
        <v>152</v>
      </c>
      <c r="X4" s="262"/>
      <c r="Y4" s="262"/>
      <c r="Z4" s="262"/>
      <c r="AA4" s="262"/>
      <c r="AB4" s="262"/>
      <c r="AC4" s="262"/>
      <c r="AD4" s="149"/>
      <c r="AE4" s="262" t="s">
        <v>156</v>
      </c>
      <c r="AF4" s="262"/>
      <c r="AG4" s="262"/>
      <c r="AH4" s="262"/>
      <c r="AI4" s="262"/>
      <c r="AJ4" s="262"/>
      <c r="AK4" s="262"/>
      <c r="AL4" s="262"/>
      <c r="AM4" s="262"/>
      <c r="AN4" s="262"/>
      <c r="AO4" s="149"/>
      <c r="AP4" s="262" t="s">
        <v>168</v>
      </c>
      <c r="AQ4" s="262"/>
      <c r="AR4" s="262"/>
      <c r="AS4" s="262"/>
      <c r="AT4" s="262"/>
      <c r="AU4" s="262"/>
      <c r="AV4" s="150"/>
      <c r="AW4" s="152" t="s">
        <v>179</v>
      </c>
      <c r="AX4" s="150"/>
      <c r="AY4" s="153"/>
    </row>
    <row r="5" spans="1:51" ht="13.5" thickBot="1">
      <c r="B5" s="144"/>
      <c r="C5" s="184"/>
      <c r="D5" s="185"/>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row>
    <row r="6" spans="1:51">
      <c r="B6" s="144"/>
    </row>
    <row r="7" spans="1:51">
      <c r="B7" s="144"/>
      <c r="D7" s="146" t="s">
        <v>189</v>
      </c>
    </row>
    <row r="8" spans="1:51" ht="13.5" thickBot="1">
      <c r="C8" s="143"/>
      <c r="D8" s="186"/>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row>
    <row r="10" spans="1:51">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row>
    <row r="11" spans="1:51">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row>
    <row r="12" spans="1:51">
      <c r="B12" s="144"/>
      <c r="D12" s="139" t="s">
        <v>177</v>
      </c>
    </row>
    <row r="13" spans="1:51">
      <c r="B13" s="144"/>
    </row>
    <row r="14" spans="1:51">
      <c r="B14" s="144"/>
      <c r="E14" s="140" t="s">
        <v>190</v>
      </c>
    </row>
    <row r="15" spans="1:51">
      <c r="B15" s="144"/>
    </row>
    <row r="16" spans="1:51">
      <c r="B16" s="144"/>
    </row>
    <row r="17" spans="2:7">
      <c r="B17" s="144"/>
      <c r="D17" s="141" t="s">
        <v>124</v>
      </c>
    </row>
    <row r="18" spans="2:7">
      <c r="B18" s="144"/>
    </row>
    <row r="19" spans="2:7">
      <c r="B19" s="144"/>
      <c r="E19" s="140" t="s">
        <v>122</v>
      </c>
    </row>
    <row r="20" spans="2:7">
      <c r="B20" s="144"/>
      <c r="F20" s="140" t="s">
        <v>217</v>
      </c>
    </row>
    <row r="21" spans="2:7">
      <c r="B21" s="144"/>
      <c r="G21" s="142" t="s">
        <v>181</v>
      </c>
    </row>
    <row r="22" spans="2:7">
      <c r="B22" s="144"/>
      <c r="G22" s="142" t="s">
        <v>182</v>
      </c>
    </row>
    <row r="23" spans="2:7">
      <c r="B23" s="144"/>
      <c r="G23" s="142" t="s">
        <v>183</v>
      </c>
    </row>
    <row r="24" spans="2:7">
      <c r="B24" s="144"/>
      <c r="F24" s="140" t="s">
        <v>184</v>
      </c>
    </row>
    <row r="25" spans="2:7">
      <c r="B25" s="144"/>
      <c r="F25" s="140" t="s">
        <v>139</v>
      </c>
    </row>
    <row r="26" spans="2:7">
      <c r="B26" s="144"/>
    </row>
    <row r="27" spans="2:7">
      <c r="B27" s="144"/>
    </row>
    <row r="28" spans="2:7">
      <c r="B28" s="144"/>
      <c r="D28" s="141" t="s">
        <v>125</v>
      </c>
    </row>
    <row r="29" spans="2:7">
      <c r="B29" s="144"/>
    </row>
    <row r="30" spans="2:7">
      <c r="B30" s="144"/>
      <c r="E30" s="140" t="s">
        <v>123</v>
      </c>
    </row>
    <row r="31" spans="2:7">
      <c r="B31" s="144"/>
      <c r="E31" s="140" t="str">
        <f>"The calculators found on this file are applicable to the "&amp;Current_cycle&amp;" budget cycle."</f>
        <v>The calculators found on this file are applicable to the FY2024 Allocation budget cycle.</v>
      </c>
    </row>
    <row r="32" spans="2:7">
      <c r="B32" s="144"/>
    </row>
    <row r="33" spans="2:5">
      <c r="B33" s="144"/>
    </row>
    <row r="34" spans="2:5">
      <c r="B34" s="144"/>
      <c r="D34" s="141" t="s">
        <v>126</v>
      </c>
    </row>
    <row r="35" spans="2:5">
      <c r="B35" s="144"/>
    </row>
    <row r="36" spans="2:5">
      <c r="B36" s="144"/>
      <c r="E36" s="140" t="s">
        <v>132</v>
      </c>
    </row>
    <row r="37" spans="2:5">
      <c r="B37" s="144"/>
      <c r="E37" s="140" t="s">
        <v>133</v>
      </c>
    </row>
    <row r="38" spans="2:5">
      <c r="B38" s="144"/>
      <c r="D38" s="140"/>
      <c r="E38" s="140" t="s">
        <v>199</v>
      </c>
    </row>
    <row r="39" spans="2:5">
      <c r="B39" s="144"/>
      <c r="D39" s="140"/>
      <c r="E39" s="140" t="s">
        <v>210</v>
      </c>
    </row>
    <row r="40" spans="2:5">
      <c r="B40" s="144"/>
    </row>
    <row r="41" spans="2:5">
      <c r="B41" s="144"/>
    </row>
    <row r="42" spans="2:5">
      <c r="B42" s="144"/>
      <c r="D42" s="141" t="s">
        <v>127</v>
      </c>
    </row>
    <row r="43" spans="2:5">
      <c r="B43" s="144"/>
    </row>
    <row r="44" spans="2:5">
      <c r="B44" s="144"/>
      <c r="E44" s="140" t="s">
        <v>128</v>
      </c>
    </row>
    <row r="45" spans="2:5">
      <c r="B45" s="144"/>
      <c r="E45" s="140" t="s">
        <v>129</v>
      </c>
    </row>
    <row r="46" spans="2:5">
      <c r="B46" s="144"/>
    </row>
    <row r="47" spans="2:5">
      <c r="B47" s="144"/>
    </row>
    <row r="48" spans="2:5">
      <c r="B48" s="144"/>
      <c r="D48" s="141" t="s">
        <v>130</v>
      </c>
    </row>
    <row r="49" spans="2:5">
      <c r="B49" s="144"/>
    </row>
    <row r="50" spans="2:5">
      <c r="B50" s="144"/>
      <c r="E50" s="140" t="s">
        <v>131</v>
      </c>
    </row>
    <row r="51" spans="2:5">
      <c r="B51" s="144"/>
      <c r="E51" s="140" t="s">
        <v>146</v>
      </c>
    </row>
    <row r="52" spans="2:5">
      <c r="B52" s="144"/>
    </row>
    <row r="53" spans="2:5">
      <c r="B53" s="144"/>
    </row>
    <row r="54" spans="2:5">
      <c r="B54" s="144"/>
      <c r="D54" s="141" t="s">
        <v>140</v>
      </c>
    </row>
    <row r="55" spans="2:5">
      <c r="B55" s="144"/>
    </row>
    <row r="56" spans="2:5">
      <c r="B56" s="144"/>
      <c r="E56" s="140" t="s">
        <v>141</v>
      </c>
    </row>
    <row r="57" spans="2:5">
      <c r="B57" s="144"/>
      <c r="E57" s="140" t="s">
        <v>142</v>
      </c>
    </row>
    <row r="58" spans="2:5">
      <c r="B58" s="144"/>
    </row>
    <row r="59" spans="2:5">
      <c r="B59" s="144"/>
    </row>
    <row r="60" spans="2:5">
      <c r="B60" s="144"/>
      <c r="D60" s="141" t="s">
        <v>150</v>
      </c>
    </row>
    <row r="61" spans="2:5">
      <c r="B61" s="144"/>
    </row>
    <row r="62" spans="2:5">
      <c r="B62" s="144"/>
      <c r="E62" s="140" t="s">
        <v>151</v>
      </c>
    </row>
    <row r="63" spans="2:5">
      <c r="B63" s="144"/>
      <c r="E63" s="140" t="s">
        <v>159</v>
      </c>
    </row>
    <row r="64" spans="2:5">
      <c r="B64" s="144"/>
    </row>
    <row r="65" spans="2:51">
      <c r="B65" s="144"/>
    </row>
    <row r="66" spans="2:51">
      <c r="B66" s="144"/>
      <c r="D66" s="141" t="s">
        <v>134</v>
      </c>
    </row>
    <row r="67" spans="2:51">
      <c r="B67" s="144"/>
    </row>
    <row r="68" spans="2:51">
      <c r="B68" s="144"/>
      <c r="E68" s="167" t="s">
        <v>135</v>
      </c>
    </row>
    <row r="69" spans="2:51">
      <c r="B69" s="144"/>
      <c r="E69" s="167" t="s">
        <v>136</v>
      </c>
    </row>
    <row r="70" spans="2:51">
      <c r="B70" s="144"/>
      <c r="E70" s="167" t="s">
        <v>137</v>
      </c>
    </row>
    <row r="71" spans="2:51">
      <c r="B71" s="144"/>
      <c r="E71" s="167" t="s">
        <v>185</v>
      </c>
    </row>
    <row r="72" spans="2:51">
      <c r="B72" s="144"/>
      <c r="E72" s="167" t="s">
        <v>186</v>
      </c>
    </row>
    <row r="73" spans="2:51">
      <c r="B73" s="144"/>
      <c r="E73" s="167" t="s">
        <v>158</v>
      </c>
    </row>
    <row r="74" spans="2:51">
      <c r="B74" s="144"/>
      <c r="E74" s="167" t="s">
        <v>191</v>
      </c>
    </row>
    <row r="75" spans="2:51">
      <c r="B75" s="144"/>
    </row>
    <row r="76" spans="2:51" ht="13.5" thickBot="1">
      <c r="B76" s="144"/>
      <c r="C76" s="143"/>
      <c r="D76" s="186"/>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row>
    <row r="77" spans="2:51">
      <c r="B77" s="144"/>
      <c r="D77" s="139"/>
    </row>
    <row r="78" spans="2:51">
      <c r="B78" s="144"/>
    </row>
    <row r="79" spans="2:51">
      <c r="B79" s="144"/>
    </row>
    <row r="80" spans="2:51">
      <c r="B80" s="144"/>
      <c r="D80" s="139" t="s">
        <v>138</v>
      </c>
    </row>
    <row r="81" spans="2:5">
      <c r="B81" s="144"/>
    </row>
    <row r="82" spans="2:5">
      <c r="B82" s="144"/>
      <c r="E82" s="140" t="s">
        <v>149</v>
      </c>
    </row>
    <row r="83" spans="2:5">
      <c r="B83" s="144"/>
    </row>
    <row r="84" spans="2:5">
      <c r="B84" s="144"/>
    </row>
    <row r="85" spans="2:5">
      <c r="B85" s="144"/>
    </row>
    <row r="86" spans="2:5">
      <c r="B86" s="144"/>
    </row>
    <row r="87" spans="2:5">
      <c r="B87" s="144"/>
    </row>
    <row r="88" spans="2:5">
      <c r="B88" s="144"/>
    </row>
    <row r="89" spans="2:5">
      <c r="B89" s="144"/>
    </row>
    <row r="90" spans="2:5">
      <c r="B90" s="144"/>
    </row>
    <row r="91" spans="2:5">
      <c r="B91" s="144"/>
    </row>
    <row r="92" spans="2:5">
      <c r="B92" s="144"/>
    </row>
    <row r="93" spans="2:5">
      <c r="B93" s="144"/>
    </row>
    <row r="94" spans="2:5">
      <c r="B94" s="144"/>
    </row>
    <row r="95" spans="2:5">
      <c r="B95" s="144"/>
    </row>
    <row r="96" spans="2:5">
      <c r="B96" s="144"/>
    </row>
    <row r="97" spans="2:6">
      <c r="B97" s="144"/>
    </row>
    <row r="98" spans="2:6">
      <c r="B98" s="144"/>
    </row>
    <row r="99" spans="2:6">
      <c r="B99" s="144"/>
    </row>
    <row r="100" spans="2:6">
      <c r="B100" s="144"/>
    </row>
    <row r="101" spans="2:6">
      <c r="B101" s="144"/>
    </row>
    <row r="102" spans="2:6">
      <c r="B102" s="144"/>
    </row>
    <row r="103" spans="2:6">
      <c r="B103" s="144"/>
    </row>
    <row r="104" spans="2:6">
      <c r="B104" s="144"/>
    </row>
    <row r="105" spans="2:6">
      <c r="B105" s="144"/>
    </row>
    <row r="106" spans="2:6">
      <c r="B106" s="144"/>
    </row>
    <row r="107" spans="2:6">
      <c r="B107" s="144"/>
    </row>
    <row r="108" spans="2:6">
      <c r="B108" s="144"/>
      <c r="E108" s="140" t="s">
        <v>147</v>
      </c>
    </row>
    <row r="109" spans="2:6">
      <c r="B109" s="144"/>
      <c r="F109" s="140" t="s">
        <v>143</v>
      </c>
    </row>
    <row r="110" spans="2:6">
      <c r="B110" s="144"/>
      <c r="F110" s="140" t="s">
        <v>144</v>
      </c>
    </row>
    <row r="111" spans="2:6">
      <c r="B111" s="144"/>
      <c r="F111" s="140" t="s">
        <v>145</v>
      </c>
    </row>
    <row r="112" spans="2:6">
      <c r="B112" s="144"/>
    </row>
    <row r="113" spans="2:2">
      <c r="B113" s="144"/>
    </row>
    <row r="114" spans="2:2">
      <c r="B114" s="144"/>
    </row>
    <row r="115" spans="2:2">
      <c r="B115" s="144"/>
    </row>
    <row r="116" spans="2:2">
      <c r="B116" s="144"/>
    </row>
    <row r="117" spans="2:2">
      <c r="B117" s="144"/>
    </row>
    <row r="118" spans="2:2">
      <c r="B118" s="144"/>
    </row>
    <row r="119" spans="2:2">
      <c r="B119" s="144"/>
    </row>
    <row r="120" spans="2:2">
      <c r="B120" s="144"/>
    </row>
    <row r="121" spans="2:2">
      <c r="B121" s="144"/>
    </row>
    <row r="122" spans="2:2">
      <c r="B122" s="144"/>
    </row>
    <row r="123" spans="2:2">
      <c r="B123" s="144"/>
    </row>
    <row r="124" spans="2:2">
      <c r="B124" s="144"/>
    </row>
    <row r="125" spans="2:2">
      <c r="B125" s="144"/>
    </row>
    <row r="126" spans="2:2">
      <c r="B126" s="144"/>
    </row>
    <row r="127" spans="2:2">
      <c r="B127" s="144"/>
    </row>
    <row r="128" spans="2:2">
      <c r="B128" s="144"/>
    </row>
    <row r="129" spans="2:5">
      <c r="B129" s="144"/>
    </row>
    <row r="130" spans="2:5">
      <c r="B130" s="144"/>
    </row>
    <row r="131" spans="2:5">
      <c r="B131" s="144"/>
    </row>
    <row r="132" spans="2:5">
      <c r="B132" s="144"/>
    </row>
    <row r="133" spans="2:5">
      <c r="B133" s="144"/>
    </row>
    <row r="134" spans="2:5">
      <c r="B134" s="144"/>
    </row>
    <row r="135" spans="2:5">
      <c r="B135" s="144"/>
    </row>
    <row r="136" spans="2:5">
      <c r="B136" s="144"/>
    </row>
    <row r="137" spans="2:5">
      <c r="B137" s="144"/>
      <c r="E137" s="140" t="s">
        <v>148</v>
      </c>
    </row>
    <row r="138" spans="2:5">
      <c r="B138" s="144"/>
    </row>
    <row r="139" spans="2:5">
      <c r="B139" s="144"/>
    </row>
    <row r="140" spans="2:5">
      <c r="B140" s="144"/>
    </row>
    <row r="141" spans="2:5">
      <c r="B141" s="144"/>
    </row>
    <row r="142" spans="2:5">
      <c r="B142" s="144"/>
    </row>
    <row r="143" spans="2:5">
      <c r="B143" s="144"/>
    </row>
    <row r="144" spans="2:5">
      <c r="B144" s="144"/>
    </row>
    <row r="145" spans="2:2">
      <c r="B145" s="144"/>
    </row>
    <row r="146" spans="2:2">
      <c r="B146" s="144"/>
    </row>
    <row r="147" spans="2:2">
      <c r="B147" s="144"/>
    </row>
    <row r="148" spans="2:2">
      <c r="B148" s="144"/>
    </row>
    <row r="149" spans="2:2">
      <c r="B149" s="144"/>
    </row>
    <row r="150" spans="2:2">
      <c r="B150" s="144"/>
    </row>
    <row r="151" spans="2:2">
      <c r="B151" s="144"/>
    </row>
    <row r="152" spans="2:2">
      <c r="B152" s="144"/>
    </row>
    <row r="153" spans="2:2">
      <c r="B153" s="144"/>
    </row>
    <row r="154" spans="2:2">
      <c r="B154" s="144"/>
    </row>
    <row r="155" spans="2:2">
      <c r="B155" s="144"/>
    </row>
    <row r="156" spans="2:2">
      <c r="B156" s="144"/>
    </row>
    <row r="157" spans="2:2">
      <c r="B157" s="144"/>
    </row>
    <row r="158" spans="2:2">
      <c r="B158" s="144"/>
    </row>
    <row r="159" spans="2:2">
      <c r="B159" s="144"/>
    </row>
    <row r="160" spans="2:2">
      <c r="B160" s="144"/>
    </row>
    <row r="161" spans="2:51">
      <c r="B161" s="144"/>
    </row>
    <row r="162" spans="2:51">
      <c r="B162" s="144"/>
    </row>
    <row r="163" spans="2:51">
      <c r="B163" s="144"/>
      <c r="E163" s="140" t="s">
        <v>200</v>
      </c>
    </row>
    <row r="164" spans="2:51">
      <c r="B164" s="144"/>
      <c r="E164" s="140" t="s">
        <v>201</v>
      </c>
    </row>
    <row r="165" spans="2:51">
      <c r="B165" s="144"/>
      <c r="E165" s="140" t="s">
        <v>202</v>
      </c>
    </row>
    <row r="166" spans="2:51">
      <c r="B166" s="144"/>
    </row>
    <row r="167" spans="2:51" ht="13.5" thickBot="1">
      <c r="B167" s="144"/>
      <c r="C167" s="143"/>
      <c r="D167" s="186"/>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row>
    <row r="171" spans="2:51">
      <c r="B171" s="144"/>
      <c r="D171" s="139" t="s">
        <v>152</v>
      </c>
    </row>
    <row r="172" spans="2:51">
      <c r="B172" s="144"/>
    </row>
    <row r="173" spans="2:51">
      <c r="B173" s="144"/>
      <c r="E173" s="140" t="s">
        <v>153</v>
      </c>
    </row>
    <row r="174" spans="2:51">
      <c r="B174" s="144"/>
    </row>
    <row r="175" spans="2:51">
      <c r="B175" s="144"/>
    </row>
    <row r="176" spans="2:51">
      <c r="B176" s="144"/>
    </row>
    <row r="177" spans="2:2">
      <c r="B177" s="144"/>
    </row>
    <row r="178" spans="2:2">
      <c r="B178" s="144"/>
    </row>
    <row r="179" spans="2:2">
      <c r="B179" s="144"/>
    </row>
    <row r="180" spans="2:2">
      <c r="B180" s="144"/>
    </row>
    <row r="181" spans="2:2">
      <c r="B181" s="144"/>
    </row>
    <row r="182" spans="2:2">
      <c r="B182" s="144"/>
    </row>
    <row r="183" spans="2:2">
      <c r="B183" s="144"/>
    </row>
    <row r="184" spans="2:2">
      <c r="B184" s="144"/>
    </row>
    <row r="185" spans="2:2">
      <c r="B185" s="144"/>
    </row>
    <row r="186" spans="2:2">
      <c r="B186" s="144"/>
    </row>
    <row r="187" spans="2:2">
      <c r="B187" s="144"/>
    </row>
    <row r="188" spans="2:2">
      <c r="B188" s="144"/>
    </row>
    <row r="189" spans="2:2">
      <c r="B189" s="144"/>
    </row>
    <row r="190" spans="2:2">
      <c r="B190" s="144"/>
    </row>
    <row r="191" spans="2:2">
      <c r="B191" s="144"/>
    </row>
    <row r="192" spans="2:2">
      <c r="B192" s="144"/>
    </row>
    <row r="193" spans="2:5">
      <c r="B193" s="144"/>
    </row>
    <row r="194" spans="2:5">
      <c r="B194" s="144"/>
    </row>
    <row r="195" spans="2:5">
      <c r="B195" s="144"/>
    </row>
    <row r="196" spans="2:5">
      <c r="B196" s="144"/>
    </row>
    <row r="197" spans="2:5">
      <c r="B197" s="144"/>
    </row>
    <row r="198" spans="2:5">
      <c r="B198" s="144"/>
    </row>
    <row r="199" spans="2:5">
      <c r="B199" s="144"/>
      <c r="E199" s="140" t="s">
        <v>154</v>
      </c>
    </row>
    <row r="200" spans="2:5">
      <c r="B200" s="144"/>
      <c r="E200" s="140" t="s">
        <v>155</v>
      </c>
    </row>
    <row r="201" spans="2:5">
      <c r="B201" s="144"/>
    </row>
    <row r="202" spans="2:5">
      <c r="B202" s="144"/>
      <c r="E202" s="140" t="s">
        <v>203</v>
      </c>
    </row>
    <row r="203" spans="2:5">
      <c r="B203" s="144"/>
    </row>
    <row r="204" spans="2:5">
      <c r="B204" s="144"/>
    </row>
    <row r="205" spans="2:5">
      <c r="B205" s="144"/>
    </row>
    <row r="206" spans="2:5">
      <c r="B206" s="144"/>
    </row>
    <row r="207" spans="2:5">
      <c r="B207" s="144"/>
    </row>
    <row r="208" spans="2:5">
      <c r="B208" s="144"/>
    </row>
    <row r="209" spans="2:2">
      <c r="B209" s="144"/>
    </row>
    <row r="210" spans="2:2">
      <c r="B210" s="144"/>
    </row>
    <row r="211" spans="2:2">
      <c r="B211" s="144"/>
    </row>
    <row r="212" spans="2:2">
      <c r="B212" s="144"/>
    </row>
    <row r="213" spans="2:2">
      <c r="B213" s="144"/>
    </row>
    <row r="214" spans="2:2">
      <c r="B214" s="144"/>
    </row>
    <row r="215" spans="2:2">
      <c r="B215" s="144"/>
    </row>
    <row r="216" spans="2:2">
      <c r="B216" s="144"/>
    </row>
    <row r="217" spans="2:2">
      <c r="B217" s="144"/>
    </row>
    <row r="218" spans="2:2">
      <c r="B218" s="144"/>
    </row>
    <row r="219" spans="2:2">
      <c r="B219" s="144"/>
    </row>
    <row r="220" spans="2:2">
      <c r="B220" s="144"/>
    </row>
    <row r="221" spans="2:2">
      <c r="B221" s="144"/>
    </row>
    <row r="222" spans="2:2">
      <c r="B222" s="144"/>
    </row>
    <row r="223" spans="2:2">
      <c r="B223" s="144"/>
    </row>
    <row r="224" spans="2:2">
      <c r="B224" s="144"/>
    </row>
    <row r="225" spans="2:51">
      <c r="B225" s="144"/>
    </row>
    <row r="226" spans="2:51">
      <c r="B226" s="144"/>
    </row>
    <row r="227" spans="2:51" ht="13.5" thickBot="1">
      <c r="B227" s="144"/>
      <c r="C227" s="143"/>
      <c r="D227" s="186"/>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row>
    <row r="228" spans="2:51">
      <c r="B228" s="144"/>
    </row>
    <row r="229" spans="2:51">
      <c r="B229" s="144"/>
    </row>
    <row r="230" spans="2:51">
      <c r="B230" s="144"/>
    </row>
    <row r="231" spans="2:51">
      <c r="B231" s="144"/>
      <c r="D231" s="139" t="s">
        <v>156</v>
      </c>
    </row>
    <row r="232" spans="2:51">
      <c r="B232" s="144"/>
    </row>
    <row r="233" spans="2:51">
      <c r="B233" s="144"/>
      <c r="E233" s="140" t="s">
        <v>157</v>
      </c>
    </row>
    <row r="234" spans="2:51">
      <c r="B234" s="144"/>
    </row>
    <row r="235" spans="2:51">
      <c r="B235" s="144"/>
    </row>
    <row r="236" spans="2:51">
      <c r="B236" s="144"/>
    </row>
    <row r="237" spans="2:51">
      <c r="B237" s="144"/>
    </row>
    <row r="238" spans="2:51">
      <c r="B238" s="144"/>
    </row>
    <row r="239" spans="2:51">
      <c r="B239" s="144"/>
    </row>
    <row r="240" spans="2:51">
      <c r="B240" s="144"/>
    </row>
    <row r="241" spans="2:5">
      <c r="B241" s="144"/>
    </row>
    <row r="242" spans="2:5">
      <c r="B242" s="144"/>
    </row>
    <row r="243" spans="2:5">
      <c r="B243" s="144"/>
    </row>
    <row r="244" spans="2:5">
      <c r="B244" s="144"/>
    </row>
    <row r="245" spans="2:5">
      <c r="B245" s="144"/>
    </row>
    <row r="246" spans="2:5">
      <c r="B246" s="144"/>
    </row>
    <row r="247" spans="2:5">
      <c r="B247" s="144"/>
    </row>
    <row r="248" spans="2:5">
      <c r="B248" s="144"/>
    </row>
    <row r="249" spans="2:5">
      <c r="B249" s="144"/>
    </row>
    <row r="250" spans="2:5">
      <c r="B250" s="144"/>
    </row>
    <row r="251" spans="2:5">
      <c r="B251" s="144"/>
      <c r="E251" s="140" t="s">
        <v>160</v>
      </c>
    </row>
    <row r="252" spans="2:5">
      <c r="B252" s="144"/>
      <c r="E252" s="140" t="s">
        <v>161</v>
      </c>
    </row>
    <row r="253" spans="2:5">
      <c r="B253" s="144"/>
    </row>
    <row r="254" spans="2:5">
      <c r="B254" s="144"/>
      <c r="E254" s="140" t="s">
        <v>162</v>
      </c>
    </row>
    <row r="255" spans="2:5">
      <c r="B255" s="144"/>
      <c r="E255" s="140" t="s">
        <v>163</v>
      </c>
    </row>
    <row r="256" spans="2:5">
      <c r="B256" s="144"/>
      <c r="E256" s="140" t="s">
        <v>164</v>
      </c>
    </row>
    <row r="257" spans="2:6">
      <c r="B257" s="144"/>
    </row>
    <row r="258" spans="2:6">
      <c r="B258" s="144"/>
      <c r="E258" s="140" t="s">
        <v>165</v>
      </c>
    </row>
    <row r="259" spans="2:6">
      <c r="B259" s="144"/>
      <c r="F259" s="140" t="s">
        <v>172</v>
      </c>
    </row>
    <row r="260" spans="2:6">
      <c r="B260" s="144"/>
      <c r="F260" s="140" t="s">
        <v>173</v>
      </c>
    </row>
    <row r="261" spans="2:6">
      <c r="B261" s="144"/>
      <c r="F261" s="140" t="s">
        <v>166</v>
      </c>
    </row>
    <row r="262" spans="2:6">
      <c r="B262" s="144"/>
    </row>
    <row r="263" spans="2:6">
      <c r="B263" s="144"/>
    </row>
    <row r="264" spans="2:6">
      <c r="B264" s="144"/>
    </row>
    <row r="265" spans="2:6">
      <c r="B265" s="144"/>
    </row>
    <row r="266" spans="2:6">
      <c r="B266" s="144"/>
    </row>
    <row r="267" spans="2:6">
      <c r="B267" s="144"/>
    </row>
    <row r="268" spans="2:6">
      <c r="B268" s="144"/>
    </row>
    <row r="269" spans="2:6">
      <c r="B269" s="144"/>
    </row>
    <row r="270" spans="2:6">
      <c r="B270" s="144"/>
    </row>
    <row r="271" spans="2:6">
      <c r="B271" s="144"/>
    </row>
    <row r="272" spans="2:6">
      <c r="B272" s="144"/>
    </row>
    <row r="273" spans="2:5">
      <c r="B273" s="144"/>
    </row>
    <row r="274" spans="2:5">
      <c r="B274" s="144"/>
    </row>
    <row r="275" spans="2:5">
      <c r="B275" s="144"/>
    </row>
    <row r="276" spans="2:5">
      <c r="B276" s="144"/>
    </row>
    <row r="277" spans="2:5">
      <c r="B277" s="144"/>
    </row>
    <row r="278" spans="2:5">
      <c r="B278" s="144"/>
    </row>
    <row r="279" spans="2:5">
      <c r="B279" s="144"/>
      <c r="E279" s="140" t="s">
        <v>216</v>
      </c>
    </row>
    <row r="280" spans="2:5">
      <c r="B280" s="144"/>
      <c r="E280" s="140" t="s">
        <v>167</v>
      </c>
    </row>
    <row r="281" spans="2:5">
      <c r="B281" s="144"/>
    </row>
    <row r="282" spans="2:5">
      <c r="B282" s="144"/>
    </row>
    <row r="283" spans="2:5">
      <c r="B283" s="144"/>
    </row>
    <row r="284" spans="2:5">
      <c r="B284" s="144"/>
    </row>
    <row r="285" spans="2:5">
      <c r="B285" s="144"/>
    </row>
    <row r="286" spans="2:5">
      <c r="B286" s="144"/>
    </row>
    <row r="287" spans="2:5">
      <c r="B287" s="144"/>
    </row>
    <row r="288" spans="2:5">
      <c r="B288" s="144"/>
    </row>
    <row r="289" spans="2:51">
      <c r="B289" s="144"/>
    </row>
    <row r="290" spans="2:51">
      <c r="B290" s="144"/>
    </row>
    <row r="291" spans="2:51">
      <c r="B291" s="144"/>
    </row>
    <row r="292" spans="2:51">
      <c r="B292" s="144"/>
    </row>
    <row r="293" spans="2:51">
      <c r="B293" s="144"/>
    </row>
    <row r="294" spans="2:51">
      <c r="B294" s="144"/>
    </row>
    <row r="295" spans="2:51">
      <c r="B295" s="144"/>
    </row>
    <row r="296" spans="2:51">
      <c r="B296" s="144"/>
    </row>
    <row r="297" spans="2:51">
      <c r="B297" s="144"/>
    </row>
    <row r="298" spans="2:51" ht="13.5" thickBot="1">
      <c r="B298" s="144"/>
      <c r="C298" s="143"/>
      <c r="D298" s="186"/>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row>
    <row r="299" spans="2:51">
      <c r="B299" s="144"/>
    </row>
    <row r="300" spans="2:51">
      <c r="B300" s="144"/>
    </row>
    <row r="301" spans="2:51">
      <c r="B301" s="144"/>
    </row>
    <row r="302" spans="2:51">
      <c r="B302" s="144"/>
      <c r="D302" s="139" t="s">
        <v>168</v>
      </c>
    </row>
    <row r="303" spans="2:51">
      <c r="B303" s="144"/>
    </row>
    <row r="304" spans="2:51">
      <c r="B304" s="144"/>
      <c r="E304" s="140" t="s">
        <v>169</v>
      </c>
    </row>
    <row r="305" spans="2:6">
      <c r="B305" s="144"/>
      <c r="E305" s="140" t="s">
        <v>170</v>
      </c>
    </row>
    <row r="306" spans="2:6">
      <c r="B306" s="144"/>
    </row>
    <row r="307" spans="2:6">
      <c r="B307" s="144"/>
      <c r="E307" s="140" t="s">
        <v>171</v>
      </c>
    </row>
    <row r="308" spans="2:6">
      <c r="B308" s="144"/>
      <c r="E308" s="140" t="s">
        <v>174</v>
      </c>
    </row>
    <row r="309" spans="2:6">
      <c r="B309" s="144"/>
      <c r="F309" s="142" t="s">
        <v>187</v>
      </c>
    </row>
    <row r="310" spans="2:6">
      <c r="B310" s="144"/>
      <c r="F310" s="142" t="s">
        <v>188</v>
      </c>
    </row>
    <row r="311" spans="2:6">
      <c r="B311" s="144"/>
      <c r="E311" s="140" t="s">
        <v>175</v>
      </c>
    </row>
    <row r="312" spans="2:6">
      <c r="B312" s="144"/>
      <c r="F312" s="142" t="s">
        <v>176</v>
      </c>
    </row>
    <row r="313" spans="2:6">
      <c r="B313" s="144"/>
    </row>
    <row r="314" spans="2:6">
      <c r="B314" s="144"/>
    </row>
    <row r="315" spans="2:6">
      <c r="B315" s="144"/>
    </row>
    <row r="316" spans="2:6">
      <c r="B316" s="144"/>
    </row>
    <row r="317" spans="2:6">
      <c r="B317" s="144"/>
    </row>
    <row r="318" spans="2:6">
      <c r="B318" s="144"/>
    </row>
    <row r="319" spans="2:6">
      <c r="B319" s="144"/>
    </row>
    <row r="320" spans="2:6">
      <c r="B320" s="144"/>
    </row>
    <row r="321" spans="2:51">
      <c r="B321" s="144"/>
    </row>
    <row r="322" spans="2:51">
      <c r="B322" s="144"/>
    </row>
    <row r="323" spans="2:51">
      <c r="B323" s="144"/>
    </row>
    <row r="324" spans="2:51">
      <c r="B324" s="144"/>
    </row>
    <row r="325" spans="2:51">
      <c r="B325" s="144"/>
    </row>
    <row r="326" spans="2:51">
      <c r="B326" s="144"/>
    </row>
    <row r="327" spans="2:51">
      <c r="B327" s="144"/>
    </row>
    <row r="328" spans="2:51">
      <c r="B328" s="144"/>
    </row>
    <row r="329" spans="2:51">
      <c r="B329" s="144"/>
    </row>
    <row r="330" spans="2:51">
      <c r="B330" s="144"/>
    </row>
    <row r="331" spans="2:51" ht="13.5" thickBot="1">
      <c r="B331" s="144"/>
      <c r="C331" s="143"/>
      <c r="D331" s="186"/>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row>
    <row r="335" spans="2:51">
      <c r="B335" s="144"/>
      <c r="D335" s="139" t="s">
        <v>180</v>
      </c>
    </row>
    <row r="336" spans="2:51">
      <c r="B336" s="144"/>
    </row>
    <row r="337" spans="2:29">
      <c r="B337" s="144"/>
    </row>
    <row r="338" spans="2:29">
      <c r="B338" s="144"/>
      <c r="D338" s="168" t="s">
        <v>242</v>
      </c>
      <c r="E338" s="168"/>
      <c r="F338" s="168"/>
      <c r="G338" s="168"/>
      <c r="H338" s="168"/>
      <c r="I338" s="168"/>
      <c r="AC338" s="168" t="s">
        <v>205</v>
      </c>
    </row>
    <row r="339" spans="2:29">
      <c r="B339" s="144"/>
      <c r="F339" s="217"/>
      <c r="G339" s="217"/>
      <c r="H339" s="217"/>
      <c r="I339" s="217"/>
    </row>
    <row r="340" spans="2:29">
      <c r="B340" s="144"/>
      <c r="D340" s="169"/>
      <c r="E340" s="168"/>
      <c r="F340" s="168"/>
      <c r="G340" s="168"/>
      <c r="H340" s="168"/>
      <c r="I340" s="168"/>
    </row>
    <row r="341" spans="2:29">
      <c r="B341" s="144"/>
      <c r="D341" s="169"/>
      <c r="F341" s="168"/>
      <c r="G341" s="168"/>
      <c r="H341" s="168"/>
      <c r="I341" s="168"/>
    </row>
    <row r="342" spans="2:29">
      <c r="B342" s="144"/>
    </row>
    <row r="343" spans="2:29">
      <c r="B343" s="144"/>
    </row>
    <row r="344" spans="2:29">
      <c r="B344" s="144"/>
    </row>
    <row r="345" spans="2:29">
      <c r="B345" s="144"/>
      <c r="F345" s="142"/>
    </row>
    <row r="346" spans="2:29">
      <c r="B346" s="144"/>
      <c r="F346" s="142"/>
    </row>
    <row r="347" spans="2:29">
      <c r="B347" s="144"/>
    </row>
    <row r="348" spans="2:29">
      <c r="B348" s="144"/>
      <c r="F348" s="142"/>
    </row>
    <row r="349" spans="2:29">
      <c r="B349" s="144"/>
    </row>
    <row r="350" spans="2:29">
      <c r="B350" s="144"/>
    </row>
    <row r="351" spans="2:29">
      <c r="B351" s="144"/>
    </row>
    <row r="352" spans="2:29">
      <c r="B352" s="144"/>
    </row>
    <row r="353" spans="2:2">
      <c r="B353" s="144"/>
    </row>
    <row r="354" spans="2:2">
      <c r="B354" s="144"/>
    </row>
    <row r="355" spans="2:2">
      <c r="B355" s="144"/>
    </row>
    <row r="356" spans="2:2">
      <c r="B356" s="144"/>
    </row>
    <row r="357" spans="2:2">
      <c r="B357" s="144"/>
    </row>
    <row r="358" spans="2:2">
      <c r="B358" s="144"/>
    </row>
    <row r="359" spans="2:2">
      <c r="B359" s="144"/>
    </row>
    <row r="360" spans="2:2">
      <c r="B360" s="144"/>
    </row>
    <row r="361" spans="2:2">
      <c r="B361" s="144"/>
    </row>
    <row r="362" spans="2:2">
      <c r="B362" s="144"/>
    </row>
    <row r="363" spans="2:2">
      <c r="B363" s="144"/>
    </row>
    <row r="364" spans="2:2">
      <c r="B364" s="144"/>
    </row>
    <row r="365" spans="2:2">
      <c r="B365" s="144"/>
    </row>
    <row r="366" spans="2:2">
      <c r="B366" s="144"/>
    </row>
    <row r="367" spans="2:2">
      <c r="B367" s="144"/>
    </row>
    <row r="368" spans="2:2">
      <c r="B368" s="144"/>
    </row>
    <row r="369" spans="2:2">
      <c r="B369" s="144"/>
    </row>
    <row r="370" spans="2:2">
      <c r="B370" s="144"/>
    </row>
    <row r="371" spans="2:2">
      <c r="B371" s="144"/>
    </row>
    <row r="372" spans="2:2">
      <c r="B372" s="144"/>
    </row>
    <row r="373" spans="2:2">
      <c r="B373" s="144"/>
    </row>
    <row r="374" spans="2:2">
      <c r="B374" s="144"/>
    </row>
    <row r="375" spans="2:2">
      <c r="B375" s="144"/>
    </row>
    <row r="376" spans="2:2">
      <c r="B376" s="144"/>
    </row>
    <row r="377" spans="2:2">
      <c r="B377" s="144"/>
    </row>
    <row r="378" spans="2:2">
      <c r="B378" s="144"/>
    </row>
    <row r="379" spans="2:2">
      <c r="B379" s="144"/>
    </row>
    <row r="380" spans="2:2">
      <c r="B380" s="144"/>
    </row>
    <row r="381" spans="2:2">
      <c r="B381" s="144"/>
    </row>
    <row r="382" spans="2:2">
      <c r="B382" s="144"/>
    </row>
    <row r="383" spans="2:2">
      <c r="B383" s="144"/>
    </row>
    <row r="384" spans="2:2">
      <c r="B384" s="144"/>
    </row>
    <row r="385" spans="2:2">
      <c r="B385" s="144"/>
    </row>
    <row r="386" spans="2:2">
      <c r="B386" s="144"/>
    </row>
    <row r="387" spans="2:2">
      <c r="B387" s="144"/>
    </row>
    <row r="388" spans="2:2">
      <c r="B388" s="144"/>
    </row>
    <row r="389" spans="2:2">
      <c r="B389" s="144"/>
    </row>
    <row r="390" spans="2:2">
      <c r="B390" s="144"/>
    </row>
    <row r="391" spans="2:2">
      <c r="B391" s="144"/>
    </row>
    <row r="392" spans="2:2">
      <c r="B392" s="144"/>
    </row>
    <row r="393" spans="2:2">
      <c r="B393" s="144"/>
    </row>
    <row r="394" spans="2:2">
      <c r="B394" s="144"/>
    </row>
    <row r="395" spans="2:2">
      <c r="B395" s="144"/>
    </row>
    <row r="396" spans="2:2">
      <c r="B396" s="144"/>
    </row>
    <row r="397" spans="2:2">
      <c r="B397" s="144"/>
    </row>
    <row r="398" spans="2:2">
      <c r="B398" s="144"/>
    </row>
    <row r="399" spans="2:2">
      <c r="B399" s="144"/>
    </row>
    <row r="400" spans="2:2">
      <c r="B400" s="144"/>
    </row>
    <row r="401" spans="2:2">
      <c r="B401" s="144"/>
    </row>
    <row r="402" spans="2:2">
      <c r="B402" s="144"/>
    </row>
    <row r="403" spans="2:2">
      <c r="B403" s="144"/>
    </row>
    <row r="404" spans="2:2">
      <c r="B404" s="144"/>
    </row>
    <row r="405" spans="2:2">
      <c r="B405" s="144"/>
    </row>
    <row r="406" spans="2:2">
      <c r="B406" s="144"/>
    </row>
    <row r="407" spans="2:2">
      <c r="B407" s="144"/>
    </row>
    <row r="408" spans="2:2">
      <c r="B408" s="144"/>
    </row>
    <row r="409" spans="2:2">
      <c r="B409" s="144"/>
    </row>
    <row r="410" spans="2:2">
      <c r="B410" s="144"/>
    </row>
    <row r="411" spans="2:2">
      <c r="B411" s="144"/>
    </row>
    <row r="412" spans="2:2">
      <c r="B412" s="144"/>
    </row>
    <row r="413" spans="2:2">
      <c r="B413" s="144"/>
    </row>
    <row r="414" spans="2:2">
      <c r="B414" s="144"/>
    </row>
    <row r="415" spans="2:2">
      <c r="B415" s="144"/>
    </row>
    <row r="416" spans="2:2">
      <c r="B416" s="144"/>
    </row>
    <row r="417" spans="2:2">
      <c r="B417" s="144"/>
    </row>
    <row r="418" spans="2:2">
      <c r="B418" s="144"/>
    </row>
    <row r="419" spans="2:2">
      <c r="B419" s="144"/>
    </row>
    <row r="420" spans="2:2">
      <c r="B420" s="144"/>
    </row>
    <row r="421" spans="2:2">
      <c r="B421" s="144"/>
    </row>
    <row r="422" spans="2:2">
      <c r="B422" s="144"/>
    </row>
    <row r="423" spans="2:2">
      <c r="B423" s="144"/>
    </row>
    <row r="424" spans="2:2">
      <c r="B424" s="144"/>
    </row>
    <row r="425" spans="2:2">
      <c r="B425" s="144"/>
    </row>
    <row r="426" spans="2:2">
      <c r="B426" s="144"/>
    </row>
    <row r="427" spans="2:2">
      <c r="B427" s="144"/>
    </row>
    <row r="428" spans="2:2">
      <c r="B428" s="144"/>
    </row>
    <row r="429" spans="2:2">
      <c r="B429" s="144"/>
    </row>
    <row r="430" spans="2:2">
      <c r="B430" s="144"/>
    </row>
    <row r="431" spans="2:2">
      <c r="B431" s="144"/>
    </row>
    <row r="432" spans="2:2">
      <c r="B432" s="144"/>
    </row>
    <row r="433" spans="2:2">
      <c r="B433" s="144"/>
    </row>
    <row r="434" spans="2:2">
      <c r="B434" s="144"/>
    </row>
    <row r="435" spans="2:2">
      <c r="B435" s="144"/>
    </row>
  </sheetData>
  <sheetProtection selectLockedCells="1"/>
  <mergeCells count="6">
    <mergeCell ref="AP4:AU4"/>
    <mergeCell ref="E4:F4"/>
    <mergeCell ref="H4:N4"/>
    <mergeCell ref="P4:U4"/>
    <mergeCell ref="W4:AC4"/>
    <mergeCell ref="AE4:AN4"/>
  </mergeCells>
  <phoneticPr fontId="43" type="noConversion"/>
  <hyperlinks>
    <hyperlink ref="E4" location="instr_top" display="TOP" xr:uid="{00000000-0004-0000-0000-000000000000}"/>
    <hyperlink ref="H4" location="Instr_gen_info" display="General Information" xr:uid="{00000000-0004-0000-0000-000001000000}"/>
    <hyperlink ref="P4" location="Instr_basic_calc" display="Basic Calculator" xr:uid="{00000000-0004-0000-0000-000002000000}"/>
    <hyperlink ref="W4" location="Instr_var_calc" display="Variance Calculator" xr:uid="{00000000-0004-0000-0000-000003000000}"/>
    <hyperlink ref="AE4" location="Instr_multi_calc" display="Multiple Positions Calculator" xr:uid="{00000000-0004-0000-0000-000004000000}"/>
    <hyperlink ref="AP4" location="Instr_codes_rates" display="Codes &amp; Rates" xr:uid="{00000000-0004-0000-0000-000005000000}"/>
    <hyperlink ref="AW4" location="Instr_contact" tooltip="Click this link to go to contact information." display="ⓘ" xr:uid="{00000000-0004-0000-0000-000006000000}"/>
    <hyperlink ref="H4:N4" location="Instr_gen_info" tooltip="Click this link to go to 'General Information'." display="General Information" xr:uid="{00000000-0004-0000-0000-000007000000}"/>
    <hyperlink ref="P4:U4" location="Instr_basic_calc" tooltip="Click this link to go to 'Basic Calculator' instructions." display="Basic Calculator" xr:uid="{00000000-0004-0000-0000-000008000000}"/>
    <hyperlink ref="W4:AC4" location="Instr_var_calc" tooltip="Click this link to go to 'Variance Calculator' instructions." display="Variance Calculator" xr:uid="{00000000-0004-0000-0000-000009000000}"/>
    <hyperlink ref="AE4:AN4" location="Instr_multi_calc" tooltip="Click this link to go to 'Multiple Positions Calculator' instructions." display="Multiple Positions Calculator" xr:uid="{00000000-0004-0000-0000-00000A000000}"/>
    <hyperlink ref="AP4:AU4" location="Instr_codes_rates" tooltip="Click this link to go to 'Codes &amp; Rates' instructions." display="Codes &amp; Rates" xr:uid="{00000000-0004-0000-0000-00000B000000}"/>
    <hyperlink ref="E4:F4" location="instr_top" tooltip="Click this link to go to 'TOP'." display="TOP" xr:uid="{00000000-0004-0000-0000-00000C000000}"/>
  </hyperlinks>
  <pageMargins left="0.7" right="0.7" top="0.41" bottom="0.5" header="0.3" footer="0.3"/>
  <pageSetup scale="65" orientation="portrait" r:id="rId1"/>
  <headerFooter>
    <oddFooter>&amp;L&amp;8&amp;F&amp;C&amp;8Page &amp;P of &amp;N&amp;R&amp;8&amp;A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9CCFF"/>
    <pageSetUpPr autoPageBreaks="0" fitToPage="1"/>
  </sheetPr>
  <dimension ref="A1:H32"/>
  <sheetViews>
    <sheetView tabSelected="1" zoomScale="90" zoomScaleNormal="90" zoomScalePageLayoutView="90" workbookViewId="0">
      <pane ySplit="1" topLeftCell="A2" activePane="bottomLeft" state="frozen"/>
      <selection activeCell="A15" sqref="A15:IV15"/>
      <selection pane="bottomLeft" activeCell="B1" sqref="B1"/>
    </sheetView>
  </sheetViews>
  <sheetFormatPr defaultColWidth="9.28515625" defaultRowHeight="12.75"/>
  <cols>
    <col min="1" max="1" width="3.28515625" style="1" customWidth="1"/>
    <col min="2" max="2" width="6.28515625" style="1" customWidth="1"/>
    <col min="3" max="3" width="8.42578125" style="1" customWidth="1"/>
    <col min="4" max="4" width="12" style="1" customWidth="1"/>
    <col min="5" max="5" width="55.28515625" style="1" customWidth="1"/>
    <col min="6" max="6" width="20.7109375" style="1" customWidth="1"/>
    <col min="7" max="7" width="3.28515625" style="1" customWidth="1"/>
    <col min="8" max="8" width="20.7109375" style="1" customWidth="1"/>
    <col min="9" max="10" width="2.7109375" style="1" customWidth="1"/>
    <col min="11" max="16384" width="9.28515625" style="1"/>
  </cols>
  <sheetData>
    <row r="1" spans="1:8" s="60" customFormat="1" ht="16.5" customHeight="1" thickBot="1">
      <c r="A1" s="220"/>
      <c r="B1" s="221" t="str">
        <f>Formula_heading</f>
        <v>FY2024 Allocation - Fringe Calculator</v>
      </c>
      <c r="C1" s="218"/>
      <c r="D1" s="218"/>
      <c r="E1" s="219"/>
      <c r="F1" s="59"/>
    </row>
    <row r="2" spans="1:8" ht="13.5" thickBot="1">
      <c r="B2" s="64"/>
    </row>
    <row r="3" spans="1:8" ht="16.5" customHeight="1">
      <c r="B3" s="265" t="s">
        <v>74</v>
      </c>
      <c r="C3" s="277" t="s">
        <v>76</v>
      </c>
      <c r="D3" s="278"/>
      <c r="E3" s="278"/>
      <c r="F3" s="57">
        <v>0</v>
      </c>
    </row>
    <row r="4" spans="1:8" ht="16.5" customHeight="1">
      <c r="B4" s="266"/>
      <c r="C4" s="276" t="s">
        <v>73</v>
      </c>
      <c r="D4" s="264"/>
      <c r="E4" s="264"/>
      <c r="F4" s="58" t="s">
        <v>30</v>
      </c>
    </row>
    <row r="5" spans="1:8" ht="16.5" customHeight="1">
      <c r="B5" s="266"/>
      <c r="C5" s="276" t="s">
        <v>70</v>
      </c>
      <c r="D5" s="264"/>
      <c r="E5" s="264"/>
      <c r="F5" s="107">
        <v>26</v>
      </c>
    </row>
    <row r="6" spans="1:8" ht="16.5" customHeight="1">
      <c r="B6" s="266"/>
      <c r="C6" s="276" t="s">
        <v>52</v>
      </c>
      <c r="D6" s="264"/>
      <c r="E6" s="264"/>
      <c r="F6" s="58" t="s">
        <v>25</v>
      </c>
      <c r="G6" s="13"/>
    </row>
    <row r="7" spans="1:8" ht="16.5" customHeight="1">
      <c r="B7" s="266"/>
      <c r="C7" s="276" t="s">
        <v>51</v>
      </c>
      <c r="D7" s="264"/>
      <c r="E7" s="264"/>
      <c r="F7" s="58" t="s">
        <v>39</v>
      </c>
      <c r="G7" s="13"/>
    </row>
    <row r="8" spans="1:8" ht="16.5" customHeight="1">
      <c r="B8" s="266"/>
      <c r="C8" s="276" t="s">
        <v>50</v>
      </c>
      <c r="D8" s="264"/>
      <c r="E8" s="264"/>
      <c r="F8" s="58" t="s">
        <v>39</v>
      </c>
      <c r="G8" s="13"/>
    </row>
    <row r="9" spans="1:8" ht="16.5" customHeight="1">
      <c r="B9" s="266"/>
      <c r="C9" s="263" t="s">
        <v>197</v>
      </c>
      <c r="D9" s="264"/>
      <c r="E9" s="264"/>
      <c r="F9" s="173" t="s">
        <v>215</v>
      </c>
      <c r="G9" s="13"/>
    </row>
    <row r="10" spans="1:8" ht="16.5" customHeight="1">
      <c r="B10" s="266"/>
      <c r="C10" s="276" t="s">
        <v>69</v>
      </c>
      <c r="D10" s="264"/>
      <c r="E10" s="264"/>
      <c r="F10" s="107">
        <v>0</v>
      </c>
    </row>
    <row r="11" spans="1:8" ht="16.5" customHeight="1">
      <c r="B11" s="266"/>
      <c r="C11" s="276" t="s">
        <v>72</v>
      </c>
      <c r="D11" s="264"/>
      <c r="E11" s="264"/>
      <c r="F11" s="160">
        <v>0</v>
      </c>
    </row>
    <row r="12" spans="1:8" ht="16.5" customHeight="1">
      <c r="B12" s="267"/>
      <c r="C12" s="263" t="s">
        <v>239</v>
      </c>
      <c r="D12" s="264"/>
      <c r="E12" s="264"/>
      <c r="F12" s="246">
        <v>0</v>
      </c>
    </row>
    <row r="13" spans="1:8" ht="16.5" customHeight="1">
      <c r="B13" s="274" t="s">
        <v>75</v>
      </c>
      <c r="C13" s="8" t="str">
        <f>Formula_Account</f>
        <v>5250</v>
      </c>
      <c r="D13" s="9" t="s">
        <v>71</v>
      </c>
      <c r="E13" s="10"/>
      <c r="F13" s="2">
        <f>Formula_Salary</f>
        <v>0</v>
      </c>
    </row>
    <row r="14" spans="1:8" ht="16.5" customHeight="1">
      <c r="B14" s="266"/>
      <c r="C14" s="11" t="s">
        <v>18</v>
      </c>
      <c r="D14" s="12" t="s">
        <v>34</v>
      </c>
      <c r="E14" s="7" t="s">
        <v>85</v>
      </c>
      <c r="F14" s="3">
        <f>Formula_ERS</f>
        <v>0</v>
      </c>
      <c r="H14" s="222"/>
    </row>
    <row r="15" spans="1:8" ht="16.5" customHeight="1">
      <c r="B15" s="266"/>
      <c r="C15" s="11" t="s">
        <v>19</v>
      </c>
      <c r="D15" s="12" t="s">
        <v>49</v>
      </c>
      <c r="E15" s="7" t="s">
        <v>86</v>
      </c>
      <c r="F15" s="3">
        <f>Formula_FICA_Social_Security</f>
        <v>0</v>
      </c>
      <c r="H15" s="222"/>
    </row>
    <row r="16" spans="1:8" ht="16.5" customHeight="1">
      <c r="B16" s="266"/>
      <c r="C16" s="172" t="s">
        <v>19</v>
      </c>
      <c r="D16" s="12" t="s">
        <v>49</v>
      </c>
      <c r="E16" s="171" t="s">
        <v>222</v>
      </c>
      <c r="F16" s="3">
        <f>Formula_FICA_Medicare</f>
        <v>0</v>
      </c>
      <c r="H16" s="222"/>
    </row>
    <row r="17" spans="2:8" ht="16.5" customHeight="1">
      <c r="B17" s="266"/>
      <c r="C17" s="11" t="s">
        <v>207</v>
      </c>
      <c r="D17" s="170" t="s">
        <v>206</v>
      </c>
      <c r="E17" s="171" t="s">
        <v>208</v>
      </c>
      <c r="F17" s="3">
        <f>Formula_TIAAHP_Range</f>
        <v>0</v>
      </c>
      <c r="H17" s="257"/>
    </row>
    <row r="18" spans="2:8" ht="16.5" customHeight="1">
      <c r="B18" s="266"/>
      <c r="C18" s="11" t="s">
        <v>20</v>
      </c>
      <c r="D18" s="12" t="s">
        <v>48</v>
      </c>
      <c r="E18" s="7" t="s">
        <v>87</v>
      </c>
      <c r="F18" s="3">
        <f>Formula_SAFB</f>
        <v>0</v>
      </c>
      <c r="H18" s="222"/>
    </row>
    <row r="19" spans="2:8" ht="16.5" customHeight="1">
      <c r="B19" s="266"/>
      <c r="C19" s="11" t="s">
        <v>21</v>
      </c>
      <c r="D19" s="12" t="s">
        <v>31</v>
      </c>
      <c r="E19" s="7" t="s">
        <v>88</v>
      </c>
      <c r="F19" s="3">
        <f>Formula_TIAA</f>
        <v>0</v>
      </c>
      <c r="H19" s="222"/>
    </row>
    <row r="20" spans="2:8" ht="16.5" customHeight="1">
      <c r="B20" s="266"/>
      <c r="C20" s="11" t="s">
        <v>22</v>
      </c>
      <c r="D20" s="12" t="s">
        <v>47</v>
      </c>
      <c r="E20" s="7" t="s">
        <v>89</v>
      </c>
      <c r="F20" s="3">
        <f>Formula_SBA</f>
        <v>0</v>
      </c>
      <c r="H20" s="222"/>
    </row>
    <row r="21" spans="2:8" ht="16.5" customHeight="1">
      <c r="B21" s="266"/>
      <c r="C21" s="11" t="s">
        <v>1</v>
      </c>
      <c r="D21" s="12" t="s">
        <v>84</v>
      </c>
      <c r="E21" s="7" t="s">
        <v>90</v>
      </c>
      <c r="F21" s="3">
        <f>Formula_ERSRHI</f>
        <v>0</v>
      </c>
      <c r="H21" s="222"/>
    </row>
    <row r="22" spans="2:8" ht="16.5" customHeight="1">
      <c r="B22" s="266"/>
      <c r="C22" s="172" t="s">
        <v>194</v>
      </c>
      <c r="D22" s="170" t="s">
        <v>195</v>
      </c>
      <c r="E22" s="171" t="s">
        <v>196</v>
      </c>
      <c r="F22" s="3">
        <f>Formula_RHBP</f>
        <v>0</v>
      </c>
      <c r="H22" s="222"/>
    </row>
    <row r="23" spans="2:8" ht="16.5" customHeight="1">
      <c r="B23" s="266"/>
      <c r="C23" s="11" t="s">
        <v>23</v>
      </c>
      <c r="D23" s="170" t="s">
        <v>46</v>
      </c>
      <c r="E23" s="171" t="s">
        <v>91</v>
      </c>
      <c r="F23" s="3">
        <f>Formula_Medical</f>
        <v>0</v>
      </c>
      <c r="H23" s="222"/>
    </row>
    <row r="24" spans="2:8" ht="16.5" customHeight="1">
      <c r="B24" s="266"/>
      <c r="C24" s="11" t="s">
        <v>66</v>
      </c>
      <c r="D24" s="12" t="s">
        <v>45</v>
      </c>
      <c r="E24" s="7" t="s">
        <v>92</v>
      </c>
      <c r="F24" s="3">
        <f>Formula_Dental</f>
        <v>0</v>
      </c>
      <c r="H24" s="222"/>
    </row>
    <row r="25" spans="2:8" ht="16.5" customHeight="1">
      <c r="B25" s="266"/>
      <c r="C25" s="11" t="s">
        <v>67</v>
      </c>
      <c r="D25" s="12" t="s">
        <v>44</v>
      </c>
      <c r="E25" s="7" t="s">
        <v>93</v>
      </c>
      <c r="F25" s="3">
        <f>Formula_Vision</f>
        <v>0</v>
      </c>
      <c r="H25" s="222"/>
    </row>
    <row r="26" spans="2:8" ht="16.5" customHeight="1">
      <c r="B26" s="266"/>
      <c r="C26" s="11" t="s">
        <v>17</v>
      </c>
      <c r="D26" s="12" t="s">
        <v>43</v>
      </c>
      <c r="E26" s="7" t="s">
        <v>94</v>
      </c>
      <c r="F26" s="3">
        <f>Formula_Waiver</f>
        <v>0</v>
      </c>
      <c r="H26" s="222"/>
    </row>
    <row r="27" spans="2:8" ht="16.5" customHeight="1">
      <c r="B27" s="266"/>
      <c r="C27" s="172" t="s">
        <v>229</v>
      </c>
      <c r="D27" s="170" t="s">
        <v>223</v>
      </c>
      <c r="E27" s="171" t="s">
        <v>224</v>
      </c>
      <c r="F27" s="3">
        <f>Formula_Payroll_Accrual</f>
        <v>0</v>
      </c>
      <c r="H27" s="222"/>
    </row>
    <row r="28" spans="2:8" ht="16.5" customHeight="1">
      <c r="B28" s="266"/>
      <c r="C28" s="268" t="s">
        <v>78</v>
      </c>
      <c r="D28" s="269"/>
      <c r="E28" s="270"/>
      <c r="F28" s="4">
        <f>Formula_Subtotal</f>
        <v>0</v>
      </c>
    </row>
    <row r="29" spans="2:8" ht="16.5" customHeight="1" thickBot="1">
      <c r="B29" s="275"/>
      <c r="C29" s="271" t="s">
        <v>80</v>
      </c>
      <c r="D29" s="272"/>
      <c r="E29" s="273"/>
      <c r="F29" s="5">
        <f>Formula_Total</f>
        <v>0</v>
      </c>
    </row>
    <row r="30" spans="2:8" ht="15" customHeight="1"/>
    <row r="32" spans="2:8">
      <c r="B32" s="6"/>
    </row>
  </sheetData>
  <sheetProtection formatColumns="0" formatRows="0"/>
  <dataConsolidate/>
  <mergeCells count="14">
    <mergeCell ref="C9:E9"/>
    <mergeCell ref="B3:B12"/>
    <mergeCell ref="C12:E12"/>
    <mergeCell ref="C28:E28"/>
    <mergeCell ref="C29:E29"/>
    <mergeCell ref="B13:B29"/>
    <mergeCell ref="C10:E10"/>
    <mergeCell ref="C5:E5"/>
    <mergeCell ref="C3:E3"/>
    <mergeCell ref="C11:E11"/>
    <mergeCell ref="C4:E4"/>
    <mergeCell ref="C6:E6"/>
    <mergeCell ref="C7:E7"/>
    <mergeCell ref="C8:E8"/>
  </mergeCells>
  <phoneticPr fontId="43" type="noConversion"/>
  <conditionalFormatting sqref="C13">
    <cfRule type="expression" dxfId="44" priority="7" stopIfTrue="1">
      <formula>$F$29=0</formula>
    </cfRule>
  </conditionalFormatting>
  <conditionalFormatting sqref="F13:F29">
    <cfRule type="expression" dxfId="43" priority="13" stopIfTrue="1">
      <formula>ISBLANK(F13)</formula>
    </cfRule>
    <cfRule type="expression" dxfId="42" priority="14" stopIfTrue="1">
      <formula>ISTEXT(F13)</formula>
    </cfRule>
    <cfRule type="cellIs" dxfId="41" priority="15" stopIfTrue="1" operator="equal">
      <formula>0</formula>
    </cfRule>
  </conditionalFormatting>
  <conditionalFormatting sqref="F3:F4 F11 F7:F8">
    <cfRule type="expression" dxfId="40" priority="3" stopIfTrue="1">
      <formula>ISBLANK(F3)</formula>
    </cfRule>
  </conditionalFormatting>
  <conditionalFormatting sqref="F5 F10">
    <cfRule type="expression" dxfId="39" priority="25" stopIfTrue="1">
      <formula>ISBLANK(F5)</formula>
    </cfRule>
    <cfRule type="expression" dxfId="38" priority="26" stopIfTrue="1">
      <formula>AND(OR(NOT($F$10=26.1),NOT($F$5=26)),$F$5&lt;$F$10)</formula>
    </cfRule>
  </conditionalFormatting>
  <conditionalFormatting sqref="F9">
    <cfRule type="expression" dxfId="37" priority="35" stopIfTrue="1">
      <formula>ISBLANK(F9)</formula>
    </cfRule>
    <cfRule type="expression" dxfId="36" priority="36" stopIfTrue="1">
      <formula>AND(OR($F$6="ACT",$F$6="L528",$F$6="NURS",$F$6="NUCL",$F$6="AAUP",$F$6="NUFA",$F$6="Vacant - Not Known"),($F$9="Yes"))</formula>
    </cfRule>
  </conditionalFormatting>
  <conditionalFormatting sqref="F6">
    <cfRule type="expression" dxfId="35" priority="60" stopIfTrue="1">
      <formula>ISBLANK(F6)</formula>
    </cfRule>
    <cfRule type="expression" dxfId="34" priority="61" stopIfTrue="1">
      <formula>AND(OR($F$6="ACT",$F$6="L528",$F$6="NURS",$F$6="NUCL",$F$6="AAUP",$F$6="NUFA",$F$6="Vacant - Not Known"),($F$9="Yes"))</formula>
    </cfRule>
  </conditionalFormatting>
  <conditionalFormatting sqref="F12">
    <cfRule type="expression" dxfId="33" priority="1" stopIfTrue="1">
      <formula>ISBLANK(F12)</formula>
    </cfRule>
    <cfRule type="expression" dxfId="32" priority="2" stopIfTrue="1">
      <formula>AND(OR(NOT($F$10=26.1),NOT($F$5=26)),$F$5&lt;$F$10)</formula>
    </cfRule>
  </conditionalFormatting>
  <dataValidations count="36">
    <dataValidation type="decimal" allowBlank="1" showInputMessage="1" showErrorMessage="1" errorTitle="Budget Office" error="Please enter a number between 0% and 100%." sqref="F11" xr:uid="{00000000-0002-0000-0100-000000000000}">
      <formula1>0</formula1>
      <formula2>1</formula2>
    </dataValidation>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100-000001000000}"/>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100-000002000000}"/>
    <dataValidation type="decimal" allowBlank="1" showInputMessage="1" showErrorMessage="1" errorTitle="Budget Office" error="Please enter a number between 0 and 26, smaller than or equal to the '# of Pay-periods for the position'._x000a__x000a_(26.1 is allowed during certain budget cycles)" sqref="F10" xr:uid="{00000000-0002-0000-0100-000003000000}">
      <formula1>0</formula1>
      <formula2>26.1</formula2>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 xr:uid="{00000000-0002-0000-0100-000004000000}">
      <formula1>Union_table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 xr:uid="{00000000-0002-0000-0100-000005000000}">
      <formula1>Health_plan_table</formula1>
    </dataValidation>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 xr:uid="{00000000-0002-0000-0100-000006000000}">
      <formula1>Retirement_plan_table</formula1>
    </dataValidation>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100-000007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100-000008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100-000009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100-00000A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100-00000B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100-00000C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100-00000D000000}"/>
    <dataValidation allowBlank="1" showInputMessage="1" showErrorMessage="1" promptTitle="TIAA" prompt="_x000a_Cost of the amount paid on behalf of employees to TIAA for tax shelter annuities and/or for retirement purposes." sqref="C19:E19" xr:uid="{00000000-0002-0000-0100-00000E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100-00000F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100-000010000000}"/>
    <dataValidation allowBlank="1" showInputMessage="1" showErrorMessage="1" promptTitle="Medical" prompt="_x000a_Cost of the amount paid for medical care coverage on behalf of employees participating in a private health insurance plan." sqref="C23:E23" xr:uid="{00000000-0002-0000-0100-000011000000}"/>
    <dataValidation allowBlank="1" showInputMessage="1" showErrorMessage="1" promptTitle="Dental" prompt="_x000a_Cost of the amount paid for dental care coverage on behalf of employees participating in a private health insurance plan." sqref="C24:E24" xr:uid="{00000000-0002-0000-0100-000012000000}"/>
    <dataValidation allowBlank="1" showInputMessage="1" showErrorMessage="1" promptTitle="Vision" prompt="_x000a_Cost of the amount paid for vision care coverage on behalf of employees participating in a private health insurance plan." sqref="C25:E25" xr:uid="{00000000-0002-0000-0100-000013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100-000014000000}"/>
    <dataValidation allowBlank="1" showInputMessage="1" showErrorMessage="1" promptTitle="Total" prompt="_x000a_It shows the total amount that should be budgeted in the corresponding CFS._x000a__x000a_Formula:_x000a_= Salary + Sub-total Fringe" sqref="C29" xr:uid="{00000000-0002-0000-0100-000015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100-000016000000}"/>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100-000017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 xr:uid="{00000000-0002-0000-0100-000018000000}">
      <formula1>"Clas,Nonc,Facu"</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100-000019000000}"/>
    <dataValidation allowBlank="1" showInputMessage="1" showErrorMessage="1" promptTitle="Yearly salary" prompt="_x000a_Input the total yearly salary. _x000a_" sqref="C3:E3" xr:uid="{00000000-0002-0000-0100-00001A000000}"/>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100-00001B000000}"/>
    <dataValidation type="decimal" showErrorMessage="1" errorTitle="Budget Office" error="Please enter a number greater than 0 and less than or equal to 26._x000a__x000a_" sqref="F5" xr:uid="{00000000-0002-0000-0100-00001C000000}">
      <formula1>0.1</formula1>
      <formula2>26</formula2>
    </dataValidation>
    <dataValidation type="decimal" operator="greaterThanOrEqual" allowBlank="1" showInputMessage="1" showErrorMessage="1" errorTitle="Budget Office" error="Please enter a positive number!" sqref="F3" xr:uid="{00000000-0002-0000-0100-00001D000000}">
      <formula1>0</formula1>
    </dataValidation>
    <dataValidation type="custom" allowBlank="1" showErrorMessage="1" errorTitle="Budget Office" error="Please enter &quot;Yes&quot; only for NUNC, PSA, PTAA, URIP and MPA participating employees._x000a__x000a_Enter &quot;No&quot; for all other employees._x000a_" sqref="F9" xr:uid="{00000000-0002-0000-0100-00001E000000}">
      <formula1>IF(OR($F$6="NUNC",$F$6="PSA",$F$6="PTAA",$F$6="MPA",$F$6="URIP"),OR($F$9="Yes",$F$9="No"),$F$9="No")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100-00001F000000}"/>
    <dataValidation allowBlank="1" showInput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100-000020000000}"/>
    <dataValidation allowBlank="1" showInputMessage="1" showErrorMessage="1" promptTitle="TIAA HP" prompt="_x000a_Contribution to the TIAA hybrid retirement plan established for classified employees." sqref="C17:E17" xr:uid="{00000000-0002-0000-0100-000021000000}"/>
    <dataValidation type="whole" allowBlank="1" showInputMessage="1" showErrorMessage="1" errorTitle="Budget Office" error="Please enter a whole number between 0 and 100." sqref="F12" xr:uid="{00000000-0002-0000-0100-000022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100-000023000000}"/>
  </dataValidations>
  <pageMargins left="0.49" right="0.17" top="0.43" bottom="0.38" header="0.17" footer="0.17"/>
  <pageSetup orientation="portrait" r:id="rId1"/>
  <headerFooter>
    <oddFooter>&amp;L&amp;"Arial,Regular"&amp;8&amp;F&amp;C&amp;"Arial,Regular"&amp;8Page &amp;P of &amp;N&amp;R&amp;"Arial,Regular"&amp;8&amp;A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9CCFF"/>
    <pageSetUpPr autoPageBreaks="0" fitToPage="1"/>
  </sheetPr>
  <dimension ref="A1:I32"/>
  <sheetViews>
    <sheetView zoomScale="90" zoomScaleNormal="90" zoomScalePageLayoutView="90" workbookViewId="0">
      <pane ySplit="1" topLeftCell="A2" activePane="bottomLeft" state="frozen"/>
      <selection activeCell="F25" sqref="F25"/>
      <selection pane="bottomLeft" activeCell="B1" sqref="B1"/>
    </sheetView>
  </sheetViews>
  <sheetFormatPr defaultColWidth="9.28515625" defaultRowHeight="12.75"/>
  <cols>
    <col min="1" max="1" width="3.28515625" style="1" customWidth="1"/>
    <col min="2" max="2" width="6.28515625" style="1" customWidth="1"/>
    <col min="3" max="3" width="8.42578125" style="1" customWidth="1"/>
    <col min="4" max="4" width="12" style="1" customWidth="1"/>
    <col min="5" max="5" width="55.28515625" style="1" customWidth="1"/>
    <col min="6" max="6" width="21.7109375" style="1" customWidth="1"/>
    <col min="7" max="8" width="20.7109375" style="1" customWidth="1"/>
    <col min="9" max="9" width="3.28515625" style="1" customWidth="1"/>
    <col min="10" max="10" width="20.7109375" style="1" customWidth="1"/>
    <col min="11" max="11" width="2.7109375" style="1" customWidth="1"/>
    <col min="12" max="16384" width="9.28515625" style="1"/>
  </cols>
  <sheetData>
    <row r="1" spans="1:9" s="60" customFormat="1" ht="16.5" customHeight="1" thickBot="1">
      <c r="A1" s="220"/>
      <c r="B1" s="221" t="str">
        <f>Formula_heading</f>
        <v>FY2024 Allocation - Fringe Calculator - Variance</v>
      </c>
      <c r="C1" s="218"/>
      <c r="D1" s="218"/>
      <c r="E1" s="219"/>
      <c r="F1" s="59"/>
      <c r="G1" s="59"/>
      <c r="H1" s="59"/>
    </row>
    <row r="2" spans="1:9" ht="13.5" thickBot="1">
      <c r="B2" s="64"/>
      <c r="F2" s="108" t="s">
        <v>81</v>
      </c>
      <c r="G2" s="108" t="s">
        <v>82</v>
      </c>
      <c r="H2" s="108" t="s">
        <v>83</v>
      </c>
    </row>
    <row r="3" spans="1:9" ht="16.5" customHeight="1">
      <c r="B3" s="265" t="s">
        <v>74</v>
      </c>
      <c r="C3" s="277" t="s">
        <v>76</v>
      </c>
      <c r="D3" s="278"/>
      <c r="E3" s="278"/>
      <c r="F3" s="157">
        <v>0</v>
      </c>
      <c r="G3" s="154">
        <v>0</v>
      </c>
      <c r="H3" s="179" t="str">
        <f t="shared" ref="H3:H11" si="0">Formula_Changed</f>
        <v/>
      </c>
    </row>
    <row r="4" spans="1:9" ht="16.5" customHeight="1">
      <c r="B4" s="266"/>
      <c r="C4" s="276" t="s">
        <v>73</v>
      </c>
      <c r="D4" s="264"/>
      <c r="E4" s="264"/>
      <c r="F4" s="158" t="s">
        <v>30</v>
      </c>
      <c r="G4" s="155" t="s">
        <v>30</v>
      </c>
      <c r="H4" s="180" t="str">
        <f t="shared" si="0"/>
        <v/>
      </c>
    </row>
    <row r="5" spans="1:9" ht="16.5" customHeight="1">
      <c r="B5" s="266"/>
      <c r="C5" s="276" t="s">
        <v>70</v>
      </c>
      <c r="D5" s="264"/>
      <c r="E5" s="264"/>
      <c r="F5" s="159">
        <v>26</v>
      </c>
      <c r="G5" s="156">
        <v>26</v>
      </c>
      <c r="H5" s="180" t="str">
        <f t="shared" si="0"/>
        <v/>
      </c>
    </row>
    <row r="6" spans="1:9" ht="16.5" customHeight="1">
      <c r="B6" s="266"/>
      <c r="C6" s="276" t="s">
        <v>52</v>
      </c>
      <c r="D6" s="264"/>
      <c r="E6" s="264"/>
      <c r="F6" s="158" t="s">
        <v>25</v>
      </c>
      <c r="G6" s="155" t="s">
        <v>25</v>
      </c>
      <c r="H6" s="180" t="str">
        <f t="shared" si="0"/>
        <v/>
      </c>
      <c r="I6" s="13"/>
    </row>
    <row r="7" spans="1:9" ht="16.5" customHeight="1">
      <c r="B7" s="266"/>
      <c r="C7" s="276" t="s">
        <v>51</v>
      </c>
      <c r="D7" s="264"/>
      <c r="E7" s="264"/>
      <c r="F7" s="158" t="s">
        <v>39</v>
      </c>
      <c r="G7" s="155" t="s">
        <v>39</v>
      </c>
      <c r="H7" s="180" t="str">
        <f t="shared" si="0"/>
        <v/>
      </c>
      <c r="I7" s="13"/>
    </row>
    <row r="8" spans="1:9" ht="16.5" customHeight="1">
      <c r="B8" s="266"/>
      <c r="C8" s="276" t="s">
        <v>50</v>
      </c>
      <c r="D8" s="264"/>
      <c r="E8" s="264"/>
      <c r="F8" s="158" t="s">
        <v>39</v>
      </c>
      <c r="G8" s="155" t="s">
        <v>39</v>
      </c>
      <c r="H8" s="180" t="str">
        <f t="shared" si="0"/>
        <v/>
      </c>
      <c r="I8" s="13"/>
    </row>
    <row r="9" spans="1:9" ht="16.5" customHeight="1">
      <c r="B9" s="266"/>
      <c r="C9" s="263" t="s">
        <v>197</v>
      </c>
      <c r="D9" s="264"/>
      <c r="E9" s="264"/>
      <c r="F9" s="175" t="s">
        <v>193</v>
      </c>
      <c r="G9" s="174" t="s">
        <v>193</v>
      </c>
      <c r="H9" s="180" t="str">
        <f t="shared" si="0"/>
        <v/>
      </c>
      <c r="I9" s="13"/>
    </row>
    <row r="10" spans="1:9" ht="16.5" customHeight="1">
      <c r="B10" s="266"/>
      <c r="C10" s="276" t="s">
        <v>69</v>
      </c>
      <c r="D10" s="264"/>
      <c r="E10" s="264"/>
      <c r="F10" s="159">
        <v>0</v>
      </c>
      <c r="G10" s="156">
        <v>0</v>
      </c>
      <c r="H10" s="180" t="str">
        <f t="shared" si="0"/>
        <v/>
      </c>
    </row>
    <row r="11" spans="1:9" ht="16.5" customHeight="1">
      <c r="B11" s="266"/>
      <c r="C11" s="276" t="s">
        <v>72</v>
      </c>
      <c r="D11" s="264"/>
      <c r="E11" s="264"/>
      <c r="F11" s="161">
        <v>0</v>
      </c>
      <c r="G11" s="162">
        <v>0</v>
      </c>
      <c r="H11" s="180" t="str">
        <f t="shared" si="0"/>
        <v/>
      </c>
    </row>
    <row r="12" spans="1:9" ht="16.5" customHeight="1">
      <c r="B12" s="267"/>
      <c r="C12" s="263" t="s">
        <v>239</v>
      </c>
      <c r="D12" s="264"/>
      <c r="E12" s="264"/>
      <c r="F12" s="247">
        <v>0</v>
      </c>
      <c r="G12" s="248">
        <v>0</v>
      </c>
      <c r="H12" s="180" t="str">
        <f>Formula_Changed</f>
        <v/>
      </c>
    </row>
    <row r="13" spans="1:9" ht="16.5" customHeight="1">
      <c r="B13" s="274" t="s">
        <v>75</v>
      </c>
      <c r="C13" s="8" t="str">
        <f>Formula_Account</f>
        <v>5250</v>
      </c>
      <c r="D13" s="9" t="s">
        <v>71</v>
      </c>
      <c r="E13" s="10"/>
      <c r="F13" s="163">
        <f>Formula_Salary</f>
        <v>0</v>
      </c>
      <c r="G13" s="2">
        <f>Formula_Salary</f>
        <v>0</v>
      </c>
      <c r="H13" s="65">
        <f t="shared" ref="H13:H29" si="1">Formula_Variance</f>
        <v>0</v>
      </c>
    </row>
    <row r="14" spans="1:9" ht="16.5" customHeight="1">
      <c r="B14" s="266"/>
      <c r="C14" s="11" t="s">
        <v>18</v>
      </c>
      <c r="D14" s="12" t="s">
        <v>34</v>
      </c>
      <c r="E14" s="7" t="s">
        <v>85</v>
      </c>
      <c r="F14" s="164">
        <f>Formula_ERS</f>
        <v>0</v>
      </c>
      <c r="G14" s="3">
        <f>Formula_ERS</f>
        <v>0</v>
      </c>
      <c r="H14" s="66">
        <f t="shared" si="1"/>
        <v>0</v>
      </c>
    </row>
    <row r="15" spans="1:9" ht="16.5" customHeight="1">
      <c r="B15" s="266"/>
      <c r="C15" s="11" t="s">
        <v>19</v>
      </c>
      <c r="D15" s="12" t="s">
        <v>49</v>
      </c>
      <c r="E15" s="7" t="s">
        <v>86</v>
      </c>
      <c r="F15" s="164">
        <f>Formula_FICA_Social_Security</f>
        <v>0</v>
      </c>
      <c r="G15" s="3">
        <f>Formula_FICA_Social_Security</f>
        <v>0</v>
      </c>
      <c r="H15" s="66">
        <f t="shared" si="1"/>
        <v>0</v>
      </c>
    </row>
    <row r="16" spans="1:9" ht="16.5" customHeight="1">
      <c r="B16" s="266"/>
      <c r="C16" s="172" t="s">
        <v>19</v>
      </c>
      <c r="D16" s="170" t="s">
        <v>49</v>
      </c>
      <c r="E16" s="171" t="s">
        <v>222</v>
      </c>
      <c r="F16" s="164">
        <f>Formula_FICA_Medicare</f>
        <v>0</v>
      </c>
      <c r="G16" s="3">
        <f>Formula_FICA_Medicare</f>
        <v>0</v>
      </c>
      <c r="H16" s="66">
        <f t="shared" si="1"/>
        <v>0</v>
      </c>
    </row>
    <row r="17" spans="2:8" ht="16.5" customHeight="1">
      <c r="B17" s="266"/>
      <c r="C17" s="11" t="s">
        <v>207</v>
      </c>
      <c r="D17" s="170" t="s">
        <v>206</v>
      </c>
      <c r="E17" s="171" t="s">
        <v>208</v>
      </c>
      <c r="F17" s="164">
        <f>Formula_TIAAHP_Range</f>
        <v>0</v>
      </c>
      <c r="G17" s="3">
        <f>Formula_TIAAHP_Range</f>
        <v>0</v>
      </c>
      <c r="H17" s="66">
        <f t="shared" si="1"/>
        <v>0</v>
      </c>
    </row>
    <row r="18" spans="2:8" ht="16.5" customHeight="1">
      <c r="B18" s="266"/>
      <c r="C18" s="11" t="s">
        <v>20</v>
      </c>
      <c r="D18" s="12" t="s">
        <v>48</v>
      </c>
      <c r="E18" s="7" t="s">
        <v>87</v>
      </c>
      <c r="F18" s="164">
        <f>Formula_SAFB</f>
        <v>0</v>
      </c>
      <c r="G18" s="3">
        <f>Formula_SAFB</f>
        <v>0</v>
      </c>
      <c r="H18" s="66">
        <f t="shared" si="1"/>
        <v>0</v>
      </c>
    </row>
    <row r="19" spans="2:8" ht="16.5" customHeight="1">
      <c r="B19" s="266"/>
      <c r="C19" s="11" t="s">
        <v>21</v>
      </c>
      <c r="D19" s="12" t="s">
        <v>31</v>
      </c>
      <c r="E19" s="7" t="s">
        <v>88</v>
      </c>
      <c r="F19" s="164">
        <f>Formula_TIAA</f>
        <v>0</v>
      </c>
      <c r="G19" s="3">
        <f>Formula_TIAA</f>
        <v>0</v>
      </c>
      <c r="H19" s="66">
        <f t="shared" si="1"/>
        <v>0</v>
      </c>
    </row>
    <row r="20" spans="2:8" ht="16.5" customHeight="1">
      <c r="B20" s="266"/>
      <c r="C20" s="11" t="s">
        <v>22</v>
      </c>
      <c r="D20" s="12" t="s">
        <v>47</v>
      </c>
      <c r="E20" s="7" t="s">
        <v>89</v>
      </c>
      <c r="F20" s="164">
        <f>Formula_SBA</f>
        <v>0</v>
      </c>
      <c r="G20" s="3">
        <f>Formula_SBA</f>
        <v>0</v>
      </c>
      <c r="H20" s="66">
        <f t="shared" si="1"/>
        <v>0</v>
      </c>
    </row>
    <row r="21" spans="2:8" ht="16.5" customHeight="1">
      <c r="B21" s="266"/>
      <c r="C21" s="11" t="s">
        <v>1</v>
      </c>
      <c r="D21" s="12" t="s">
        <v>84</v>
      </c>
      <c r="E21" s="7" t="s">
        <v>90</v>
      </c>
      <c r="F21" s="164">
        <f>Formula_ERSRHI</f>
        <v>0</v>
      </c>
      <c r="G21" s="3">
        <f>Formula_ERSRHI</f>
        <v>0</v>
      </c>
      <c r="H21" s="66">
        <f t="shared" si="1"/>
        <v>0</v>
      </c>
    </row>
    <row r="22" spans="2:8" ht="16.5" customHeight="1">
      <c r="B22" s="266"/>
      <c r="C22" s="172" t="s">
        <v>194</v>
      </c>
      <c r="D22" s="170" t="s">
        <v>195</v>
      </c>
      <c r="E22" s="171" t="s">
        <v>196</v>
      </c>
      <c r="F22" s="164">
        <f>Formula_RHBP</f>
        <v>0</v>
      </c>
      <c r="G22" s="3">
        <f>Formula_RHBP</f>
        <v>0</v>
      </c>
      <c r="H22" s="66">
        <f t="shared" si="1"/>
        <v>0</v>
      </c>
    </row>
    <row r="23" spans="2:8" ht="16.5" customHeight="1">
      <c r="B23" s="266"/>
      <c r="C23" s="11" t="s">
        <v>23</v>
      </c>
      <c r="D23" s="170" t="s">
        <v>46</v>
      </c>
      <c r="E23" s="171" t="s">
        <v>91</v>
      </c>
      <c r="F23" s="164">
        <f>Formula_Medical</f>
        <v>0</v>
      </c>
      <c r="G23" s="3">
        <f>Formula_Medical</f>
        <v>0</v>
      </c>
      <c r="H23" s="66">
        <f t="shared" si="1"/>
        <v>0</v>
      </c>
    </row>
    <row r="24" spans="2:8" ht="16.5" customHeight="1">
      <c r="B24" s="266"/>
      <c r="C24" s="11" t="s">
        <v>66</v>
      </c>
      <c r="D24" s="12" t="s">
        <v>45</v>
      </c>
      <c r="E24" s="7" t="s">
        <v>92</v>
      </c>
      <c r="F24" s="164">
        <f>Formula_Dental</f>
        <v>0</v>
      </c>
      <c r="G24" s="3">
        <f>Formula_Dental</f>
        <v>0</v>
      </c>
      <c r="H24" s="66">
        <f t="shared" si="1"/>
        <v>0</v>
      </c>
    </row>
    <row r="25" spans="2:8" ht="16.5" customHeight="1">
      <c r="B25" s="266"/>
      <c r="C25" s="11" t="s">
        <v>67</v>
      </c>
      <c r="D25" s="12" t="s">
        <v>44</v>
      </c>
      <c r="E25" s="7" t="s">
        <v>93</v>
      </c>
      <c r="F25" s="164">
        <f>Formula_Vision</f>
        <v>0</v>
      </c>
      <c r="G25" s="3">
        <f>Formula_Vision</f>
        <v>0</v>
      </c>
      <c r="H25" s="66">
        <f t="shared" si="1"/>
        <v>0</v>
      </c>
    </row>
    <row r="26" spans="2:8" ht="16.5" customHeight="1">
      <c r="B26" s="266"/>
      <c r="C26" s="11" t="s">
        <v>17</v>
      </c>
      <c r="D26" s="12" t="s">
        <v>43</v>
      </c>
      <c r="E26" s="7" t="s">
        <v>94</v>
      </c>
      <c r="F26" s="164">
        <f>Formula_Waiver</f>
        <v>0</v>
      </c>
      <c r="G26" s="3">
        <f>Formula_Waiver</f>
        <v>0</v>
      </c>
      <c r="H26" s="66">
        <f t="shared" si="1"/>
        <v>0</v>
      </c>
    </row>
    <row r="27" spans="2:8" ht="16.5" customHeight="1">
      <c r="B27" s="266"/>
      <c r="C27" s="172" t="s">
        <v>229</v>
      </c>
      <c r="D27" s="170" t="s">
        <v>223</v>
      </c>
      <c r="E27" s="171" t="s">
        <v>224</v>
      </c>
      <c r="F27" s="164">
        <f>Formula_Payroll_Accrual</f>
        <v>0</v>
      </c>
      <c r="G27" s="3">
        <f>Formula_Payroll_Accrual</f>
        <v>0</v>
      </c>
      <c r="H27" s="66">
        <f t="shared" si="1"/>
        <v>0</v>
      </c>
    </row>
    <row r="28" spans="2:8" ht="16.5" customHeight="1">
      <c r="B28" s="266"/>
      <c r="C28" s="268" t="s">
        <v>78</v>
      </c>
      <c r="D28" s="269"/>
      <c r="E28" s="270"/>
      <c r="F28" s="165">
        <f>Formula_Subtotal</f>
        <v>0</v>
      </c>
      <c r="G28" s="4">
        <f>Formula_Subtotal</f>
        <v>0</v>
      </c>
      <c r="H28" s="67">
        <f t="shared" si="1"/>
        <v>0</v>
      </c>
    </row>
    <row r="29" spans="2:8" ht="16.5" customHeight="1" thickBot="1">
      <c r="B29" s="275"/>
      <c r="C29" s="271" t="s">
        <v>80</v>
      </c>
      <c r="D29" s="272"/>
      <c r="E29" s="273"/>
      <c r="F29" s="166">
        <f>Formula_Total</f>
        <v>0</v>
      </c>
      <c r="G29" s="5">
        <f>Formula_Total</f>
        <v>0</v>
      </c>
      <c r="H29" s="68">
        <f t="shared" si="1"/>
        <v>0</v>
      </c>
    </row>
    <row r="32" spans="2:8">
      <c r="B32" s="6"/>
    </row>
  </sheetData>
  <sheetProtection formatColumns="0" formatRows="0"/>
  <dataConsolidate/>
  <mergeCells count="14">
    <mergeCell ref="B13:B29"/>
    <mergeCell ref="C28:E28"/>
    <mergeCell ref="C29:E29"/>
    <mergeCell ref="C3:E3"/>
    <mergeCell ref="C5:E5"/>
    <mergeCell ref="C10:E10"/>
    <mergeCell ref="C11:E11"/>
    <mergeCell ref="C4:E4"/>
    <mergeCell ref="C6:E6"/>
    <mergeCell ref="C9:E9"/>
    <mergeCell ref="C7:E7"/>
    <mergeCell ref="C8:E8"/>
    <mergeCell ref="B3:B12"/>
    <mergeCell ref="C12:E12"/>
  </mergeCells>
  <phoneticPr fontId="43" type="noConversion"/>
  <conditionalFormatting sqref="C13">
    <cfRule type="expression" dxfId="31" priority="11" stopIfTrue="1">
      <formula>$F$29=0</formula>
    </cfRule>
  </conditionalFormatting>
  <conditionalFormatting sqref="G13:G29">
    <cfRule type="expression" dxfId="30" priority="17" stopIfTrue="1">
      <formula>ISBLANK(G13)</formula>
    </cfRule>
    <cfRule type="expression" dxfId="29" priority="18" stopIfTrue="1">
      <formula>ISTEXT(G13)</formula>
    </cfRule>
    <cfRule type="cellIs" dxfId="28" priority="19" stopIfTrue="1" operator="equal">
      <formula>0</formula>
    </cfRule>
  </conditionalFormatting>
  <conditionalFormatting sqref="H13:H29">
    <cfRule type="expression" dxfId="27" priority="25" stopIfTrue="1">
      <formula>ISBLANK(H13)</formula>
    </cfRule>
    <cfRule type="expression" dxfId="26" priority="26" stopIfTrue="1">
      <formula>ISTEXT(H13)</formula>
    </cfRule>
  </conditionalFormatting>
  <conditionalFormatting sqref="F13:F16 F18:F29">
    <cfRule type="expression" dxfId="25" priority="6" stopIfTrue="1">
      <formula>ISBLANK(F13)</formula>
    </cfRule>
    <cfRule type="expression" dxfId="24" priority="7" stopIfTrue="1">
      <formula>ISTEXT(F13)</formula>
    </cfRule>
    <cfRule type="cellIs" dxfId="23" priority="8" stopIfTrue="1" operator="equal">
      <formula>0</formula>
    </cfRule>
  </conditionalFormatting>
  <conditionalFormatting sqref="F3:G4 F11:G12 F7:G8">
    <cfRule type="expression" dxfId="22" priority="4" stopIfTrue="1">
      <formula>ISBLANK(F3)</formula>
    </cfRule>
  </conditionalFormatting>
  <conditionalFormatting sqref="F5 F10">
    <cfRule type="expression" dxfId="21" priority="37" stopIfTrue="1">
      <formula>ISBLANK(F5)</formula>
    </cfRule>
    <cfRule type="expression" dxfId="20" priority="38" stopIfTrue="1">
      <formula>AND(OR(NOT($F$10=26.1),NOT($F$5=26)),$F$5&lt;$F$10)</formula>
    </cfRule>
  </conditionalFormatting>
  <conditionalFormatting sqref="G5 G10">
    <cfRule type="expression" dxfId="19" priority="39" stopIfTrue="1">
      <formula>ISBLANK(G5)</formula>
    </cfRule>
    <cfRule type="expression" dxfId="18" priority="40" stopIfTrue="1">
      <formula>AND(OR(NOT($G$10=26.1),NOT($G$5=26)),$G$5&lt;$G$10)</formula>
    </cfRule>
  </conditionalFormatting>
  <conditionalFormatting sqref="F9:G9">
    <cfRule type="expression" dxfId="17" priority="55" stopIfTrue="1">
      <formula>ISBLANK(F9)</formula>
    </cfRule>
    <cfRule type="expression" dxfId="16" priority="56" stopIfTrue="1">
      <formula>AND(OR(F$6="ACT",F$6="L528",F$6="NURS",F$6="NUCL",F$6="AAUP",F$6="NUFA",F$6="Vacant - Not Known"),(F$9="Yes"))</formula>
    </cfRule>
  </conditionalFormatting>
  <conditionalFormatting sqref="H3:H12">
    <cfRule type="cellIs" dxfId="15" priority="5" stopIfTrue="1" operator="equal">
      <formula>"Changed"</formula>
    </cfRule>
  </conditionalFormatting>
  <conditionalFormatting sqref="F6:G6">
    <cfRule type="expression" dxfId="14" priority="96" stopIfTrue="1">
      <formula>ISBLANK(F6)</formula>
    </cfRule>
    <cfRule type="expression" dxfId="13" priority="97" stopIfTrue="1">
      <formula>AND(OR(F$6="ACT",F$6="L528",F$6="NURS",F$6="NUCL",F$6="AAUP",F$6="NUFA",F$6="Vacant - Not Known"),(F$9="Yes"))</formula>
    </cfRule>
  </conditionalFormatting>
  <conditionalFormatting sqref="F17">
    <cfRule type="expression" dxfId="12" priority="1" stopIfTrue="1">
      <formula>ISBLANK(F17)</formula>
    </cfRule>
    <cfRule type="expression" dxfId="11" priority="2" stopIfTrue="1">
      <formula>ISTEXT(F17)</formula>
    </cfRule>
    <cfRule type="cellIs" dxfId="10" priority="3" stopIfTrue="1" operator="equal">
      <formula>0</formula>
    </cfRule>
  </conditionalFormatting>
  <dataValidations count="37">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G10" xr:uid="{00000000-0002-0000-0200-000000000000}">
      <formula1>0</formula1>
      <formula2>26.1</formula2>
    </dataValidation>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200-000001000000}"/>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200-000002000000}"/>
    <dataValidation type="decimal" allowBlank="1" showInputMessage="1" showErrorMessage="1" errorTitle="Budget Office" error="Please enter a number between 0% and 100%." sqref="F11:G11" xr:uid="{00000000-0002-0000-0200-000003000000}">
      <formula1>0</formula1>
      <formula2>1</formula2>
    </dataValidation>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200-000004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200-000005000000}"/>
    <dataValidation allowBlank="1" showInputMessage="1" showErrorMessage="1" promptTitle="Total" prompt="_x000a_It shows the total amount that should be budgeted in the corresponding CFS._x000a__x000a_Formula:_x000a_= Salary + Sub-total Fringe" sqref="C29" xr:uid="{00000000-0002-0000-0200-000006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200-000007000000}"/>
    <dataValidation allowBlank="1" showInputMessage="1" showErrorMessage="1" promptTitle="Vision" prompt="_x000a_Cost of the amount paid for vision care coverage on behalf of employees participating in a private health insurance plan." sqref="C25:E25" xr:uid="{00000000-0002-0000-0200-000008000000}"/>
    <dataValidation allowBlank="1" showInputMessage="1" showErrorMessage="1" promptTitle="Dental" prompt="_x000a_Cost of the amount paid for dental care coverage on behalf of employees participating in a private health insurance plan." sqref="C24:E24" xr:uid="{00000000-0002-0000-0200-000009000000}"/>
    <dataValidation allowBlank="1" showInputMessage="1" showErrorMessage="1" promptTitle="Medical" prompt="_x000a_Cost of the amount paid for medical care coverage on behalf of employees participating in a private health insurance plan." sqref="C23:E23" xr:uid="{00000000-0002-0000-02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2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200-00000C000000}"/>
    <dataValidation allowBlank="1" showInputMessage="1" showErrorMessage="1" promptTitle="TIAA" prompt="_x000a_Cost of the amount paid on behalf of employees to TIAA for tax shelter annuities and/or for retirement purposes." sqref="C19:E19" xr:uid="{00000000-0002-0000-02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2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2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200-000010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200-000011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200-000012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200-000013000000}"/>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200-000014000000}"/>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G8" xr:uid="{00000000-0002-0000-0200-000015000000}">
      <formula1>Retirement_plan_table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G7" xr:uid="{00000000-0002-0000-0200-000016000000}">
      <formula1>Health_plan_table</formula1>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G6" xr:uid="{00000000-0002-0000-0200-000017000000}">
      <formula1>Union_table</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200-000018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G4" xr:uid="{00000000-0002-0000-0200-000019000000}">
      <formula1>"Clas,Nonc,Facu"</formula1>
    </dataValidation>
    <dataValidation type="decimal" showErrorMessage="1" errorTitle="Budget Office" error="Please enter a number greater than 0 and less than or equal to 26._x000a__x000a_" sqref="F5:G5" xr:uid="{00000000-0002-0000-0200-00001A000000}">
      <formula1>0.1</formula1>
      <formula2>26</formula2>
    </dataValidation>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200-00001B000000}"/>
    <dataValidation allowBlank="1" showInputMessage="1" showErrorMessage="1" promptTitle="Yearly salary" prompt="_x000a_Input the total yearly salary. _x000a_" sqref="C3:E3" xr:uid="{00000000-0002-0000-0200-00001C000000}"/>
    <dataValidation type="decimal" operator="greaterThanOrEqual" allowBlank="1" showInputMessage="1" showErrorMessage="1" errorTitle="Budget Office" error="Please enter a positive number!" sqref="F3:G3" xr:uid="{00000000-0002-0000-0200-00001D000000}">
      <formula1>0</formula1>
    </dataValidation>
    <dataValidation type="decimal" allowBlank="1" showErrorMessage="1" errorTitle="Budget Office" error="Please enter a number between 0 and 26, smaller than or equal to the corresponding '# of Pay-periods for the position'._x000a__x000a_(26.1 is allowed during certain budget cycles)" sqref="F10" xr:uid="{00000000-0002-0000-0200-00001E000000}">
      <formula1>0</formula1>
      <formula2>26.1</formula2>
    </dataValidation>
    <dataValidation type="custom" allowBlank="1" showErrorMessage="1" errorTitle="Budget Office" error="Please enter &quot;Yes&quot; only for NUNC, PSA, PTAA, URIP  and MPA participating employees._x000a__x000a_Enter &quot;No&quot; for all other employees._x000a_" sqref="F9:G9" xr:uid="{00000000-0002-0000-0200-00001F000000}">
      <formula1>IF(OR(F$6="NUNC",F$6="PSA",F$6="PTAA",F$6="URIP",F$6="MPA"),OR(F$9="Yes",F$9="No"),F$9="No")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200-000020000000}"/>
    <dataValidation allowBlank="1" showInputMessage="1" showError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200-000021000000}"/>
    <dataValidation allowBlank="1" showInputMessage="1" showErrorMessage="1" promptTitle="TIAA HP" prompt="_x000a_Contribution to the TIAA hybrid retirement plan established for classified employees." sqref="C17:E17" xr:uid="{00000000-0002-0000-0200-000022000000}"/>
    <dataValidation type="whole" allowBlank="1" showInputMessage="1" showErrorMessage="1" errorTitle="Budget Office" error="Please enter a whole number between 0 and 100." sqref="F12:G12" xr:uid="{00000000-0002-0000-0200-000023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200-000024000000}"/>
  </dataValidations>
  <pageMargins left="0.49" right="0.17" top="0.43" bottom="0.38" header="0.17" footer="0.17"/>
  <pageSetup scale="71" orientation="portrait" r:id="rId1"/>
  <headerFooter>
    <oddFooter>&amp;L&amp;"Arial,Regular"&amp;8&amp;F&amp;C&amp;"Arial,Regular"&amp;8Page &amp;P of &amp;N&amp;R&amp;"Arial,Regular"&amp;8&amp;A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9CCFF"/>
    <pageSetUpPr autoPageBreaks="0" fitToPage="1"/>
  </sheetPr>
  <dimension ref="A1:AH33"/>
  <sheetViews>
    <sheetView zoomScale="90" zoomScaleNormal="90" zoomScalePageLayoutView="90" workbookViewId="0">
      <pane xSplit="5" ySplit="6" topLeftCell="F7" activePane="bottomRight" state="frozen"/>
      <selection pane="topRight" activeCell="F1" sqref="F1"/>
      <selection pane="bottomLeft" activeCell="A7" sqref="A7"/>
      <selection pane="bottomRight"/>
    </sheetView>
  </sheetViews>
  <sheetFormatPr defaultColWidth="8.7109375" defaultRowHeight="12.75"/>
  <cols>
    <col min="1" max="1" width="13.42578125" style="19" customWidth="1"/>
    <col min="2" max="3" width="9" style="19" customWidth="1"/>
    <col min="4" max="5" width="15.28515625" style="19" customWidth="1"/>
    <col min="6" max="6" width="10" style="19" customWidth="1"/>
    <col min="7" max="7" width="8.7109375" style="25" customWidth="1"/>
    <col min="8" max="8" width="10" style="19" customWidth="1"/>
    <col min="9" max="9" width="16.28515625" style="25" customWidth="1"/>
    <col min="10" max="12" width="14.28515625" style="19" customWidth="1"/>
    <col min="13" max="13" width="10" style="19" customWidth="1"/>
    <col min="14" max="15" width="11.7109375" style="19" customWidth="1"/>
    <col min="16" max="16" width="9.7109375" style="19" customWidth="1"/>
    <col min="17" max="17" width="12" style="19" customWidth="1"/>
    <col min="18" max="32" width="10.42578125" style="19" customWidth="1"/>
    <col min="33" max="33" width="10.7109375" style="19" customWidth="1"/>
    <col min="34" max="34" width="20.42578125" style="19" customWidth="1"/>
    <col min="35" max="16384" width="8.7109375" style="19"/>
  </cols>
  <sheetData>
    <row r="1" spans="1:34" s="63" customFormat="1" ht="16.5" customHeight="1" thickBot="1">
      <c r="A1" s="145" t="str">
        <f>Formula_heading</f>
        <v>FY2024 Allocation - Fringe Calculator - Multiple positions</v>
      </c>
      <c r="B1" s="61"/>
      <c r="C1" s="61"/>
      <c r="D1" s="61"/>
      <c r="E1" s="61"/>
      <c r="F1" s="61"/>
      <c r="G1" s="62"/>
      <c r="H1" s="61"/>
      <c r="I1" s="62"/>
      <c r="J1" s="61"/>
      <c r="K1" s="61"/>
      <c r="L1" s="61"/>
      <c r="M1" s="61"/>
      <c r="N1" s="61"/>
      <c r="O1" s="61"/>
      <c r="P1" s="61"/>
      <c r="Q1" s="61"/>
      <c r="R1" s="61"/>
      <c r="S1" s="61"/>
      <c r="T1" s="61"/>
      <c r="U1" s="61"/>
      <c r="V1" s="61"/>
      <c r="W1" s="61"/>
      <c r="X1" s="61"/>
      <c r="Y1" s="61"/>
      <c r="Z1" s="61"/>
      <c r="AA1" s="61"/>
      <c r="AB1" s="61"/>
      <c r="AC1" s="61"/>
      <c r="AD1" s="61"/>
      <c r="AE1" s="61"/>
      <c r="AF1" s="61"/>
      <c r="AG1" s="61"/>
      <c r="AH1" s="61"/>
    </row>
    <row r="2" spans="1:34" ht="13.5" thickBot="1"/>
    <row r="3" spans="1:34" ht="16.5" customHeight="1" thickBot="1">
      <c r="A3" s="102"/>
      <c r="B3" s="109"/>
      <c r="C3" s="44"/>
      <c r="D3" s="45"/>
      <c r="E3" s="45"/>
      <c r="F3" s="45"/>
      <c r="G3" s="15"/>
      <c r="H3" s="16"/>
      <c r="I3" s="15"/>
      <c r="J3" s="15"/>
      <c r="K3" s="17"/>
      <c r="L3" s="17"/>
      <c r="M3" s="16"/>
      <c r="N3" s="16"/>
      <c r="O3" s="138" t="s">
        <v>58</v>
      </c>
      <c r="P3" s="102"/>
      <c r="Q3" s="14">
        <f ca="1">SUBTOTAL(9,OFFSET(Q$6,1,0):OFFSET(Q$28,-1,0))</f>
        <v>0</v>
      </c>
      <c r="R3" s="14">
        <f ca="1">SUBTOTAL(9,OFFSET(R$6,1,0):OFFSET(R$28,-1,0))</f>
        <v>0</v>
      </c>
      <c r="S3" s="14">
        <f ca="1">SUBTOTAL(9,OFFSET(S$6,1,0):OFFSET(S$28,-1,0))</f>
        <v>0</v>
      </c>
      <c r="T3" s="14">
        <f ca="1">SUBTOTAL(9,OFFSET(T$6,1,0):OFFSET(T$28,-1,0))</f>
        <v>0</v>
      </c>
      <c r="U3" s="14">
        <f ca="1">SUBTOTAL(9,OFFSET(U$6,1,0):OFFSET(U$28,-1,0))</f>
        <v>0</v>
      </c>
      <c r="V3" s="14">
        <f ca="1">SUBTOTAL(9,OFFSET(V$6,1,0):OFFSET(V$28,-1,0))</f>
        <v>0</v>
      </c>
      <c r="W3" s="14">
        <f ca="1">SUBTOTAL(9,OFFSET(W$6,1,0):OFFSET(W$28,-1,0))</f>
        <v>0</v>
      </c>
      <c r="X3" s="14">
        <f ca="1">SUBTOTAL(9,OFFSET(X$6,1,0):OFFSET(X$28,-1,0))</f>
        <v>0</v>
      </c>
      <c r="Y3" s="14">
        <f ca="1">SUBTOTAL(9,OFFSET(Y$6,1,0):OFFSET(Y$28,-1,0))</f>
        <v>0</v>
      </c>
      <c r="Z3" s="14">
        <f ca="1">SUBTOTAL(9,OFFSET(Z$6,1,0):OFFSET(Z$28,-1,0))</f>
        <v>0</v>
      </c>
      <c r="AA3" s="14">
        <f ca="1">SUBTOTAL(9,OFFSET(AA$6,1,0):OFFSET(AA$28,-1,0))</f>
        <v>0</v>
      </c>
      <c r="AB3" s="14">
        <f ca="1">SUBTOTAL(9,OFFSET(AB$6,1,0):OFFSET(AB$28,-1,0))</f>
        <v>0</v>
      </c>
      <c r="AC3" s="14">
        <f ca="1">SUBTOTAL(9,OFFSET(AC$6,1,0):OFFSET(AC$28,-1,0))</f>
        <v>0</v>
      </c>
      <c r="AD3" s="14">
        <f ca="1">SUBTOTAL(9,OFFSET(AD$6,1,0):OFFSET(AD$28,-1,0))</f>
        <v>0</v>
      </c>
      <c r="AE3" s="14">
        <f ca="1">SUBTOTAL(9,OFFSET(AE$6,1,0):OFFSET(AE$28,-1,0))</f>
        <v>0</v>
      </c>
      <c r="AF3" s="14">
        <f ca="1">SUBTOTAL(9,OFFSET(AF$6,1,0):OFFSET(AF$28,-1,0))</f>
        <v>0</v>
      </c>
      <c r="AG3" s="123">
        <f ca="1">SUBTOTAL(9,OFFSET(AG$6,1,0):OFFSET(AG$28,-1,0))</f>
        <v>0</v>
      </c>
      <c r="AH3" s="18"/>
    </row>
    <row r="4" spans="1:34" s="56" customFormat="1" ht="16.5" customHeight="1" thickBot="1">
      <c r="A4" s="50"/>
      <c r="B4" s="51" t="s">
        <v>74</v>
      </c>
      <c r="C4" s="51"/>
      <c r="D4" s="51"/>
      <c r="E4" s="51"/>
      <c r="F4" s="51"/>
      <c r="G4" s="51"/>
      <c r="H4" s="51"/>
      <c r="I4" s="51"/>
      <c r="J4" s="51"/>
      <c r="K4" s="51"/>
      <c r="L4" s="51"/>
      <c r="M4" s="51"/>
      <c r="N4" s="52"/>
      <c r="O4" s="51"/>
      <c r="P4" s="51" t="s">
        <v>75</v>
      </c>
      <c r="Q4" s="51"/>
      <c r="R4" s="51"/>
      <c r="S4" s="51"/>
      <c r="T4" s="51"/>
      <c r="U4" s="51"/>
      <c r="V4" s="51"/>
      <c r="W4" s="51"/>
      <c r="X4" s="51"/>
      <c r="Y4" s="51"/>
      <c r="Z4" s="51"/>
      <c r="AA4" s="51"/>
      <c r="AB4" s="51"/>
      <c r="AC4" s="51"/>
      <c r="AD4" s="51"/>
      <c r="AE4" s="53"/>
      <c r="AF4" s="53"/>
      <c r="AG4" s="54"/>
      <c r="AH4" s="55"/>
    </row>
    <row r="5" spans="1:34" s="20" customFormat="1" ht="16.5" customHeight="1">
      <c r="A5" s="131" t="s">
        <v>121</v>
      </c>
      <c r="B5" s="132"/>
      <c r="C5" s="132"/>
      <c r="D5" s="132"/>
      <c r="E5" s="132"/>
      <c r="F5" s="133" t="s">
        <v>120</v>
      </c>
      <c r="G5" s="134"/>
      <c r="H5" s="135"/>
      <c r="I5" s="134"/>
      <c r="J5" s="134"/>
      <c r="K5" s="134"/>
      <c r="L5" s="134"/>
      <c r="M5" s="136"/>
      <c r="N5" s="137"/>
      <c r="O5" s="249"/>
      <c r="P5" s="103"/>
      <c r="Q5" s="27"/>
      <c r="R5" s="43" t="s">
        <v>117</v>
      </c>
      <c r="S5" s="46" t="s">
        <v>117</v>
      </c>
      <c r="T5" s="46" t="s">
        <v>117</v>
      </c>
      <c r="U5" s="46" t="s">
        <v>117</v>
      </c>
      <c r="V5" s="46" t="s">
        <v>117</v>
      </c>
      <c r="W5" s="46" t="s">
        <v>117</v>
      </c>
      <c r="X5" s="46" t="s">
        <v>117</v>
      </c>
      <c r="Y5" s="46" t="s">
        <v>117</v>
      </c>
      <c r="Z5" s="46" t="s">
        <v>117</v>
      </c>
      <c r="AA5" s="46" t="s">
        <v>117</v>
      </c>
      <c r="AB5" s="46" t="s">
        <v>117</v>
      </c>
      <c r="AC5" s="46" t="s">
        <v>117</v>
      </c>
      <c r="AD5" s="237" t="s">
        <v>117</v>
      </c>
      <c r="AE5" s="47" t="s">
        <v>117</v>
      </c>
      <c r="AF5" s="28"/>
      <c r="AG5" s="130"/>
      <c r="AH5" s="29"/>
    </row>
    <row r="6" spans="1:34" s="21" customFormat="1" ht="66.75" customHeight="1" thickBot="1">
      <c r="A6" s="36" t="s">
        <v>65</v>
      </c>
      <c r="B6" s="32" t="s">
        <v>57</v>
      </c>
      <c r="C6" s="30" t="s">
        <v>56</v>
      </c>
      <c r="D6" s="30" t="s">
        <v>55</v>
      </c>
      <c r="E6" s="30" t="s">
        <v>54</v>
      </c>
      <c r="F6" s="30" t="s">
        <v>76</v>
      </c>
      <c r="G6" s="30" t="s">
        <v>73</v>
      </c>
      <c r="H6" s="31" t="s">
        <v>68</v>
      </c>
      <c r="I6" s="30" t="s">
        <v>52</v>
      </c>
      <c r="J6" s="30" t="s">
        <v>51</v>
      </c>
      <c r="K6" s="30" t="s">
        <v>50</v>
      </c>
      <c r="L6" s="177" t="s">
        <v>197</v>
      </c>
      <c r="M6" s="33" t="s">
        <v>95</v>
      </c>
      <c r="N6" s="254" t="s">
        <v>96</v>
      </c>
      <c r="O6" s="256" t="s">
        <v>239</v>
      </c>
      <c r="P6" s="250" t="s">
        <v>53</v>
      </c>
      <c r="Q6" s="30" t="s">
        <v>77</v>
      </c>
      <c r="R6" s="32" t="s">
        <v>108</v>
      </c>
      <c r="S6" s="176" t="s">
        <v>227</v>
      </c>
      <c r="T6" s="176" t="s">
        <v>228</v>
      </c>
      <c r="U6" s="176" t="s">
        <v>209</v>
      </c>
      <c r="V6" s="30" t="s">
        <v>109</v>
      </c>
      <c r="W6" s="30" t="s">
        <v>110</v>
      </c>
      <c r="X6" s="30" t="s">
        <v>111</v>
      </c>
      <c r="Y6" s="30" t="s">
        <v>112</v>
      </c>
      <c r="Z6" s="176" t="s">
        <v>198</v>
      </c>
      <c r="AA6" s="30" t="s">
        <v>113</v>
      </c>
      <c r="AB6" s="30" t="s">
        <v>114</v>
      </c>
      <c r="AC6" s="30" t="s">
        <v>115</v>
      </c>
      <c r="AD6" s="30" t="s">
        <v>230</v>
      </c>
      <c r="AE6" s="30" t="s">
        <v>116</v>
      </c>
      <c r="AF6" s="34" t="s">
        <v>78</v>
      </c>
      <c r="AG6" s="127" t="s">
        <v>79</v>
      </c>
      <c r="AH6" s="35" t="s">
        <v>64</v>
      </c>
    </row>
    <row r="7" spans="1:34" ht="16.5" customHeight="1">
      <c r="A7" s="110"/>
      <c r="B7" s="38"/>
      <c r="C7" s="38"/>
      <c r="D7" s="38"/>
      <c r="E7" s="120"/>
      <c r="F7" s="39">
        <v>0</v>
      </c>
      <c r="G7" s="49" t="s">
        <v>30</v>
      </c>
      <c r="H7" s="26">
        <v>26</v>
      </c>
      <c r="I7" s="40" t="s">
        <v>25</v>
      </c>
      <c r="J7" s="40" t="s">
        <v>39</v>
      </c>
      <c r="K7" s="40" t="s">
        <v>39</v>
      </c>
      <c r="L7" s="178" t="s">
        <v>193</v>
      </c>
      <c r="M7" s="26">
        <v>0</v>
      </c>
      <c r="N7" s="253">
        <v>0</v>
      </c>
      <c r="O7" s="255">
        <v>0</v>
      </c>
      <c r="P7" s="104" t="str">
        <f t="shared" ref="P7:P27" si="0">Formula_Account</f>
        <v>5250</v>
      </c>
      <c r="Q7" s="105">
        <f t="shared" ref="Q7:Q27" si="1">Formula_Salary</f>
        <v>0</v>
      </c>
      <c r="R7" s="41">
        <f t="shared" ref="R7:R27" si="2">Formula_ERS</f>
        <v>0</v>
      </c>
      <c r="S7" s="41">
        <f t="shared" ref="S7:S27" si="3">Formula_FICA_Social_Security</f>
        <v>0</v>
      </c>
      <c r="T7" s="41">
        <f>Formula_FICA_Medicare</f>
        <v>0</v>
      </c>
      <c r="U7" s="41">
        <f>Formula_TIAAHP_Range</f>
        <v>0</v>
      </c>
      <c r="V7" s="41">
        <f t="shared" ref="V7:V27" si="4">Formula_SAFB</f>
        <v>0</v>
      </c>
      <c r="W7" s="41">
        <f t="shared" ref="W7:W27" si="5">Formula_TIAA</f>
        <v>0</v>
      </c>
      <c r="X7" s="41">
        <f t="shared" ref="X7:X27" si="6">Formula_SBA</f>
        <v>0</v>
      </c>
      <c r="Y7" s="41">
        <f t="shared" ref="Y7:Y27" si="7">Formula_ERSRHI</f>
        <v>0</v>
      </c>
      <c r="Z7" s="41">
        <f t="shared" ref="Z7:Z27" si="8">Formula_RHBP</f>
        <v>0</v>
      </c>
      <c r="AA7" s="41">
        <f t="shared" ref="AA7:AA27" si="9">Formula_Medical</f>
        <v>0</v>
      </c>
      <c r="AB7" s="41">
        <f t="shared" ref="AB7:AB27" si="10">Formula_Dental</f>
        <v>0</v>
      </c>
      <c r="AC7" s="41">
        <f t="shared" ref="AC7:AC27" si="11">Formula_Vision</f>
        <v>0</v>
      </c>
      <c r="AD7" s="41">
        <f>Formula_Payroll_Accrual</f>
        <v>0</v>
      </c>
      <c r="AE7" s="41">
        <f t="shared" ref="AE7:AE27" si="12">Formula_Waiver</f>
        <v>0</v>
      </c>
      <c r="AF7" s="124">
        <f t="shared" ref="AF7:AF27" si="13">Formula_Subtotal</f>
        <v>0</v>
      </c>
      <c r="AG7" s="128">
        <f t="shared" ref="AG7:AG27" si="14">Formula_Total</f>
        <v>0</v>
      </c>
      <c r="AH7" s="42"/>
    </row>
    <row r="8" spans="1:34" ht="16.5" customHeight="1">
      <c r="A8" s="110"/>
      <c r="B8" s="38"/>
      <c r="C8" s="38"/>
      <c r="D8" s="38"/>
      <c r="E8" s="121"/>
      <c r="F8" s="39">
        <v>0</v>
      </c>
      <c r="G8" s="49" t="s">
        <v>30</v>
      </c>
      <c r="H8" s="26">
        <v>26</v>
      </c>
      <c r="I8" s="40" t="s">
        <v>25</v>
      </c>
      <c r="J8" s="40" t="s">
        <v>39</v>
      </c>
      <c r="K8" s="40" t="s">
        <v>39</v>
      </c>
      <c r="L8" s="178" t="s">
        <v>193</v>
      </c>
      <c r="M8" s="26">
        <v>0</v>
      </c>
      <c r="N8" s="251">
        <v>0</v>
      </c>
      <c r="O8" s="255">
        <v>0</v>
      </c>
      <c r="P8" s="104" t="str">
        <f t="shared" si="0"/>
        <v>5250</v>
      </c>
      <c r="Q8" s="106">
        <f t="shared" si="1"/>
        <v>0</v>
      </c>
      <c r="R8" s="41">
        <f t="shared" si="2"/>
        <v>0</v>
      </c>
      <c r="S8" s="41">
        <f t="shared" si="3"/>
        <v>0</v>
      </c>
      <c r="T8" s="41">
        <f t="shared" ref="T8:T27" si="15">Formula_FICA_Medicare</f>
        <v>0</v>
      </c>
      <c r="U8" s="41">
        <f>Formula_TIAAHP_Range</f>
        <v>0</v>
      </c>
      <c r="V8" s="41">
        <f t="shared" si="4"/>
        <v>0</v>
      </c>
      <c r="W8" s="41">
        <f t="shared" si="5"/>
        <v>0</v>
      </c>
      <c r="X8" s="41">
        <f t="shared" si="6"/>
        <v>0</v>
      </c>
      <c r="Y8" s="41">
        <f t="shared" si="7"/>
        <v>0</v>
      </c>
      <c r="Z8" s="41">
        <f t="shared" si="8"/>
        <v>0</v>
      </c>
      <c r="AA8" s="41">
        <f t="shared" si="9"/>
        <v>0</v>
      </c>
      <c r="AB8" s="41">
        <f t="shared" si="10"/>
        <v>0</v>
      </c>
      <c r="AC8" s="41">
        <f t="shared" si="11"/>
        <v>0</v>
      </c>
      <c r="AD8" s="41">
        <f>Formula_Payroll_Accrual</f>
        <v>0</v>
      </c>
      <c r="AE8" s="41">
        <f t="shared" si="12"/>
        <v>0</v>
      </c>
      <c r="AF8" s="125">
        <f t="shared" si="13"/>
        <v>0</v>
      </c>
      <c r="AG8" s="128">
        <f t="shared" si="14"/>
        <v>0</v>
      </c>
      <c r="AH8" s="42"/>
    </row>
    <row r="9" spans="1:34" ht="16.5" customHeight="1">
      <c r="A9" s="110"/>
      <c r="B9" s="38"/>
      <c r="C9" s="38"/>
      <c r="D9" s="38"/>
      <c r="E9" s="121"/>
      <c r="F9" s="39">
        <v>0</v>
      </c>
      <c r="G9" s="49" t="s">
        <v>30</v>
      </c>
      <c r="H9" s="26">
        <v>26</v>
      </c>
      <c r="I9" s="40" t="s">
        <v>25</v>
      </c>
      <c r="J9" s="40" t="s">
        <v>39</v>
      </c>
      <c r="K9" s="40" t="s">
        <v>39</v>
      </c>
      <c r="L9" s="178" t="s">
        <v>193</v>
      </c>
      <c r="M9" s="26">
        <v>0</v>
      </c>
      <c r="N9" s="251">
        <v>0</v>
      </c>
      <c r="O9" s="255">
        <v>0</v>
      </c>
      <c r="P9" s="104" t="str">
        <f t="shared" si="0"/>
        <v>5250</v>
      </c>
      <c r="Q9" s="106">
        <f t="shared" si="1"/>
        <v>0</v>
      </c>
      <c r="R9" s="41">
        <f t="shared" si="2"/>
        <v>0</v>
      </c>
      <c r="S9" s="41">
        <f t="shared" si="3"/>
        <v>0</v>
      </c>
      <c r="T9" s="41">
        <f t="shared" si="15"/>
        <v>0</v>
      </c>
      <c r="U9" s="41">
        <f>Formula_TIAAHP_Range</f>
        <v>0</v>
      </c>
      <c r="V9" s="41">
        <f t="shared" si="4"/>
        <v>0</v>
      </c>
      <c r="W9" s="41">
        <f t="shared" si="5"/>
        <v>0</v>
      </c>
      <c r="X9" s="41">
        <f t="shared" si="6"/>
        <v>0</v>
      </c>
      <c r="Y9" s="41">
        <f t="shared" si="7"/>
        <v>0</v>
      </c>
      <c r="Z9" s="41">
        <f t="shared" si="8"/>
        <v>0</v>
      </c>
      <c r="AA9" s="41">
        <f t="shared" si="9"/>
        <v>0</v>
      </c>
      <c r="AB9" s="41">
        <f t="shared" si="10"/>
        <v>0</v>
      </c>
      <c r="AC9" s="41">
        <f t="shared" si="11"/>
        <v>0</v>
      </c>
      <c r="AD9" s="41">
        <f>Formula_Payroll_Accrual</f>
        <v>0</v>
      </c>
      <c r="AE9" s="41">
        <f t="shared" si="12"/>
        <v>0</v>
      </c>
      <c r="AF9" s="125">
        <f t="shared" si="13"/>
        <v>0</v>
      </c>
      <c r="AG9" s="128">
        <f t="shared" si="14"/>
        <v>0</v>
      </c>
      <c r="AH9" s="42"/>
    </row>
    <row r="10" spans="1:34" ht="16.5" customHeight="1">
      <c r="A10" s="110"/>
      <c r="B10" s="38"/>
      <c r="C10" s="38"/>
      <c r="D10" s="38"/>
      <c r="E10" s="121"/>
      <c r="F10" s="39">
        <v>0</v>
      </c>
      <c r="G10" s="49" t="s">
        <v>30</v>
      </c>
      <c r="H10" s="26">
        <v>26</v>
      </c>
      <c r="I10" s="40" t="s">
        <v>25</v>
      </c>
      <c r="J10" s="40" t="s">
        <v>39</v>
      </c>
      <c r="K10" s="40" t="s">
        <v>39</v>
      </c>
      <c r="L10" s="178" t="s">
        <v>193</v>
      </c>
      <c r="M10" s="26">
        <v>0</v>
      </c>
      <c r="N10" s="251">
        <v>0</v>
      </c>
      <c r="O10" s="255">
        <v>0</v>
      </c>
      <c r="P10" s="104" t="str">
        <f t="shared" si="0"/>
        <v>5250</v>
      </c>
      <c r="Q10" s="106">
        <f t="shared" si="1"/>
        <v>0</v>
      </c>
      <c r="R10" s="41">
        <f t="shared" si="2"/>
        <v>0</v>
      </c>
      <c r="S10" s="41">
        <f t="shared" si="3"/>
        <v>0</v>
      </c>
      <c r="T10" s="41">
        <f t="shared" si="15"/>
        <v>0</v>
      </c>
      <c r="U10" s="41">
        <f>Formula_TIAAHP_Range</f>
        <v>0</v>
      </c>
      <c r="V10" s="41">
        <f t="shared" si="4"/>
        <v>0</v>
      </c>
      <c r="W10" s="41">
        <f t="shared" si="5"/>
        <v>0</v>
      </c>
      <c r="X10" s="41">
        <f t="shared" si="6"/>
        <v>0</v>
      </c>
      <c r="Y10" s="41">
        <f t="shared" si="7"/>
        <v>0</v>
      </c>
      <c r="Z10" s="41">
        <f t="shared" si="8"/>
        <v>0</v>
      </c>
      <c r="AA10" s="41">
        <f t="shared" si="9"/>
        <v>0</v>
      </c>
      <c r="AB10" s="41">
        <f t="shared" si="10"/>
        <v>0</v>
      </c>
      <c r="AC10" s="41">
        <f t="shared" si="11"/>
        <v>0</v>
      </c>
      <c r="AD10" s="41">
        <f>Formula_Payroll_Accrual</f>
        <v>0</v>
      </c>
      <c r="AE10" s="41">
        <f t="shared" si="12"/>
        <v>0</v>
      </c>
      <c r="AF10" s="125">
        <f t="shared" si="13"/>
        <v>0</v>
      </c>
      <c r="AG10" s="128">
        <f t="shared" si="14"/>
        <v>0</v>
      </c>
      <c r="AH10" s="42"/>
    </row>
    <row r="11" spans="1:34" ht="16.5" customHeight="1">
      <c r="A11" s="110"/>
      <c r="B11" s="38"/>
      <c r="C11" s="38"/>
      <c r="D11" s="38"/>
      <c r="E11" s="121"/>
      <c r="F11" s="39">
        <v>0</v>
      </c>
      <c r="G11" s="49" t="s">
        <v>30</v>
      </c>
      <c r="H11" s="26">
        <v>26</v>
      </c>
      <c r="I11" s="40" t="s">
        <v>25</v>
      </c>
      <c r="J11" s="40" t="s">
        <v>39</v>
      </c>
      <c r="K11" s="40" t="s">
        <v>39</v>
      </c>
      <c r="L11" s="178" t="s">
        <v>193</v>
      </c>
      <c r="M11" s="26">
        <v>0</v>
      </c>
      <c r="N11" s="251">
        <v>0</v>
      </c>
      <c r="O11" s="255">
        <v>0</v>
      </c>
      <c r="P11" s="104" t="str">
        <f t="shared" si="0"/>
        <v>5250</v>
      </c>
      <c r="Q11" s="106">
        <f t="shared" si="1"/>
        <v>0</v>
      </c>
      <c r="R11" s="41">
        <f t="shared" si="2"/>
        <v>0</v>
      </c>
      <c r="S11" s="41">
        <f t="shared" si="3"/>
        <v>0</v>
      </c>
      <c r="T11" s="41">
        <f t="shared" si="15"/>
        <v>0</v>
      </c>
      <c r="U11" s="41">
        <f>Formula_TIAAHP_Range</f>
        <v>0</v>
      </c>
      <c r="V11" s="41">
        <f t="shared" si="4"/>
        <v>0</v>
      </c>
      <c r="W11" s="41">
        <f t="shared" si="5"/>
        <v>0</v>
      </c>
      <c r="X11" s="41">
        <f t="shared" si="6"/>
        <v>0</v>
      </c>
      <c r="Y11" s="41">
        <f t="shared" si="7"/>
        <v>0</v>
      </c>
      <c r="Z11" s="41">
        <f t="shared" si="8"/>
        <v>0</v>
      </c>
      <c r="AA11" s="41">
        <f t="shared" si="9"/>
        <v>0</v>
      </c>
      <c r="AB11" s="41">
        <f t="shared" si="10"/>
        <v>0</v>
      </c>
      <c r="AC11" s="41">
        <f t="shared" si="11"/>
        <v>0</v>
      </c>
      <c r="AD11" s="41">
        <f>Formula_Payroll_Accrual</f>
        <v>0</v>
      </c>
      <c r="AE11" s="41">
        <f t="shared" si="12"/>
        <v>0</v>
      </c>
      <c r="AF11" s="125">
        <f t="shared" si="13"/>
        <v>0</v>
      </c>
      <c r="AG11" s="128">
        <f t="shared" si="14"/>
        <v>0</v>
      </c>
      <c r="AH11" s="42"/>
    </row>
    <row r="12" spans="1:34" ht="16.5" customHeight="1">
      <c r="A12" s="110"/>
      <c r="B12" s="38"/>
      <c r="C12" s="38"/>
      <c r="D12" s="38"/>
      <c r="E12" s="121"/>
      <c r="F12" s="39">
        <v>0</v>
      </c>
      <c r="G12" s="49" t="s">
        <v>30</v>
      </c>
      <c r="H12" s="26">
        <v>26</v>
      </c>
      <c r="I12" s="40" t="s">
        <v>25</v>
      </c>
      <c r="J12" s="40" t="s">
        <v>39</v>
      </c>
      <c r="K12" s="40" t="s">
        <v>39</v>
      </c>
      <c r="L12" s="178" t="s">
        <v>193</v>
      </c>
      <c r="M12" s="26">
        <v>0</v>
      </c>
      <c r="N12" s="251">
        <v>0</v>
      </c>
      <c r="O12" s="255">
        <v>0</v>
      </c>
      <c r="P12" s="104" t="str">
        <f t="shared" si="0"/>
        <v>5250</v>
      </c>
      <c r="Q12" s="106">
        <f t="shared" si="1"/>
        <v>0</v>
      </c>
      <c r="R12" s="41">
        <f t="shared" si="2"/>
        <v>0</v>
      </c>
      <c r="S12" s="41">
        <f t="shared" si="3"/>
        <v>0</v>
      </c>
      <c r="T12" s="41">
        <f t="shared" si="15"/>
        <v>0</v>
      </c>
      <c r="U12" s="41">
        <f>Formula_TIAAHP_Range</f>
        <v>0</v>
      </c>
      <c r="V12" s="41">
        <f t="shared" si="4"/>
        <v>0</v>
      </c>
      <c r="W12" s="41">
        <f t="shared" si="5"/>
        <v>0</v>
      </c>
      <c r="X12" s="41">
        <f t="shared" si="6"/>
        <v>0</v>
      </c>
      <c r="Y12" s="41">
        <f t="shared" si="7"/>
        <v>0</v>
      </c>
      <c r="Z12" s="41">
        <f t="shared" si="8"/>
        <v>0</v>
      </c>
      <c r="AA12" s="41">
        <f t="shared" si="9"/>
        <v>0</v>
      </c>
      <c r="AB12" s="41">
        <f t="shared" si="10"/>
        <v>0</v>
      </c>
      <c r="AC12" s="41">
        <f t="shared" si="11"/>
        <v>0</v>
      </c>
      <c r="AD12" s="41">
        <f>Formula_Payroll_Accrual</f>
        <v>0</v>
      </c>
      <c r="AE12" s="41">
        <f t="shared" si="12"/>
        <v>0</v>
      </c>
      <c r="AF12" s="125">
        <f t="shared" si="13"/>
        <v>0</v>
      </c>
      <c r="AG12" s="128">
        <f t="shared" si="14"/>
        <v>0</v>
      </c>
      <c r="AH12" s="42"/>
    </row>
    <row r="13" spans="1:34" ht="16.5" customHeight="1">
      <c r="A13" s="110"/>
      <c r="B13" s="38"/>
      <c r="C13" s="38"/>
      <c r="D13" s="38"/>
      <c r="E13" s="121"/>
      <c r="F13" s="39">
        <v>0</v>
      </c>
      <c r="G13" s="49" t="s">
        <v>30</v>
      </c>
      <c r="H13" s="26">
        <v>26</v>
      </c>
      <c r="I13" s="40" t="s">
        <v>25</v>
      </c>
      <c r="J13" s="40" t="s">
        <v>39</v>
      </c>
      <c r="K13" s="40" t="s">
        <v>39</v>
      </c>
      <c r="L13" s="178" t="s">
        <v>193</v>
      </c>
      <c r="M13" s="26">
        <v>0</v>
      </c>
      <c r="N13" s="251">
        <v>0</v>
      </c>
      <c r="O13" s="255">
        <v>0</v>
      </c>
      <c r="P13" s="104" t="str">
        <f t="shared" si="0"/>
        <v>5250</v>
      </c>
      <c r="Q13" s="106">
        <f t="shared" si="1"/>
        <v>0</v>
      </c>
      <c r="R13" s="41">
        <f t="shared" si="2"/>
        <v>0</v>
      </c>
      <c r="S13" s="41">
        <f t="shared" si="3"/>
        <v>0</v>
      </c>
      <c r="T13" s="41">
        <f t="shared" si="15"/>
        <v>0</v>
      </c>
      <c r="U13" s="41">
        <f>Formula_TIAAHP_Range</f>
        <v>0</v>
      </c>
      <c r="V13" s="41">
        <f t="shared" si="4"/>
        <v>0</v>
      </c>
      <c r="W13" s="41">
        <f t="shared" si="5"/>
        <v>0</v>
      </c>
      <c r="X13" s="41">
        <f t="shared" si="6"/>
        <v>0</v>
      </c>
      <c r="Y13" s="41">
        <f t="shared" si="7"/>
        <v>0</v>
      </c>
      <c r="Z13" s="41">
        <f t="shared" si="8"/>
        <v>0</v>
      </c>
      <c r="AA13" s="41">
        <f t="shared" si="9"/>
        <v>0</v>
      </c>
      <c r="AB13" s="41">
        <f t="shared" si="10"/>
        <v>0</v>
      </c>
      <c r="AC13" s="41">
        <f t="shared" si="11"/>
        <v>0</v>
      </c>
      <c r="AD13" s="41">
        <f>Formula_Payroll_Accrual</f>
        <v>0</v>
      </c>
      <c r="AE13" s="41">
        <f t="shared" si="12"/>
        <v>0</v>
      </c>
      <c r="AF13" s="125">
        <f t="shared" si="13"/>
        <v>0</v>
      </c>
      <c r="AG13" s="128">
        <f t="shared" si="14"/>
        <v>0</v>
      </c>
      <c r="AH13" s="42"/>
    </row>
    <row r="14" spans="1:34" ht="16.5" customHeight="1">
      <c r="A14" s="110"/>
      <c r="B14" s="38"/>
      <c r="C14" s="38"/>
      <c r="D14" s="38"/>
      <c r="E14" s="121"/>
      <c r="F14" s="39">
        <v>0</v>
      </c>
      <c r="G14" s="49" t="s">
        <v>30</v>
      </c>
      <c r="H14" s="26">
        <v>26</v>
      </c>
      <c r="I14" s="40" t="s">
        <v>25</v>
      </c>
      <c r="J14" s="40" t="s">
        <v>39</v>
      </c>
      <c r="K14" s="40" t="s">
        <v>39</v>
      </c>
      <c r="L14" s="178" t="s">
        <v>193</v>
      </c>
      <c r="M14" s="26">
        <v>0</v>
      </c>
      <c r="N14" s="251">
        <v>0</v>
      </c>
      <c r="O14" s="255">
        <v>0</v>
      </c>
      <c r="P14" s="104" t="str">
        <f t="shared" si="0"/>
        <v>5250</v>
      </c>
      <c r="Q14" s="106">
        <f t="shared" si="1"/>
        <v>0</v>
      </c>
      <c r="R14" s="41">
        <f t="shared" si="2"/>
        <v>0</v>
      </c>
      <c r="S14" s="41">
        <f t="shared" si="3"/>
        <v>0</v>
      </c>
      <c r="T14" s="41">
        <f t="shared" si="15"/>
        <v>0</v>
      </c>
      <c r="U14" s="41">
        <f>Formula_TIAAHP_Range</f>
        <v>0</v>
      </c>
      <c r="V14" s="41">
        <f t="shared" si="4"/>
        <v>0</v>
      </c>
      <c r="W14" s="41">
        <f t="shared" si="5"/>
        <v>0</v>
      </c>
      <c r="X14" s="41">
        <f t="shared" si="6"/>
        <v>0</v>
      </c>
      <c r="Y14" s="41">
        <f t="shared" si="7"/>
        <v>0</v>
      </c>
      <c r="Z14" s="41">
        <f t="shared" si="8"/>
        <v>0</v>
      </c>
      <c r="AA14" s="41">
        <f t="shared" si="9"/>
        <v>0</v>
      </c>
      <c r="AB14" s="41">
        <f t="shared" si="10"/>
        <v>0</v>
      </c>
      <c r="AC14" s="41">
        <f t="shared" si="11"/>
        <v>0</v>
      </c>
      <c r="AD14" s="41">
        <f>Formula_Payroll_Accrual</f>
        <v>0</v>
      </c>
      <c r="AE14" s="41">
        <f t="shared" si="12"/>
        <v>0</v>
      </c>
      <c r="AF14" s="125">
        <f t="shared" si="13"/>
        <v>0</v>
      </c>
      <c r="AG14" s="128">
        <f t="shared" si="14"/>
        <v>0</v>
      </c>
      <c r="AH14" s="42"/>
    </row>
    <row r="15" spans="1:34" ht="16.5" customHeight="1">
      <c r="A15" s="110"/>
      <c r="B15" s="38"/>
      <c r="C15" s="38"/>
      <c r="D15" s="38"/>
      <c r="E15" s="121"/>
      <c r="F15" s="39">
        <v>0</v>
      </c>
      <c r="G15" s="49" t="s">
        <v>30</v>
      </c>
      <c r="H15" s="26">
        <v>26</v>
      </c>
      <c r="I15" s="40" t="s">
        <v>25</v>
      </c>
      <c r="J15" s="40" t="s">
        <v>39</v>
      </c>
      <c r="K15" s="40" t="s">
        <v>39</v>
      </c>
      <c r="L15" s="178" t="s">
        <v>193</v>
      </c>
      <c r="M15" s="26">
        <v>0</v>
      </c>
      <c r="N15" s="251">
        <v>0</v>
      </c>
      <c r="O15" s="255">
        <v>0</v>
      </c>
      <c r="P15" s="104" t="str">
        <f t="shared" si="0"/>
        <v>5250</v>
      </c>
      <c r="Q15" s="106">
        <f t="shared" si="1"/>
        <v>0</v>
      </c>
      <c r="R15" s="41">
        <f t="shared" si="2"/>
        <v>0</v>
      </c>
      <c r="S15" s="41">
        <f t="shared" si="3"/>
        <v>0</v>
      </c>
      <c r="T15" s="41">
        <f t="shared" si="15"/>
        <v>0</v>
      </c>
      <c r="U15" s="41">
        <f>Formula_TIAAHP_Range</f>
        <v>0</v>
      </c>
      <c r="V15" s="41">
        <f t="shared" si="4"/>
        <v>0</v>
      </c>
      <c r="W15" s="41">
        <f t="shared" si="5"/>
        <v>0</v>
      </c>
      <c r="X15" s="41">
        <f t="shared" si="6"/>
        <v>0</v>
      </c>
      <c r="Y15" s="41">
        <f t="shared" si="7"/>
        <v>0</v>
      </c>
      <c r="Z15" s="41">
        <f t="shared" si="8"/>
        <v>0</v>
      </c>
      <c r="AA15" s="41">
        <f t="shared" si="9"/>
        <v>0</v>
      </c>
      <c r="AB15" s="41">
        <f t="shared" si="10"/>
        <v>0</v>
      </c>
      <c r="AC15" s="41">
        <f t="shared" si="11"/>
        <v>0</v>
      </c>
      <c r="AD15" s="41">
        <f>Formula_Payroll_Accrual</f>
        <v>0</v>
      </c>
      <c r="AE15" s="41">
        <f t="shared" si="12"/>
        <v>0</v>
      </c>
      <c r="AF15" s="125">
        <f t="shared" si="13"/>
        <v>0</v>
      </c>
      <c r="AG15" s="128">
        <f t="shared" si="14"/>
        <v>0</v>
      </c>
      <c r="AH15" s="42"/>
    </row>
    <row r="16" spans="1:34" ht="16.5" customHeight="1">
      <c r="A16" s="110"/>
      <c r="B16" s="38"/>
      <c r="C16" s="38"/>
      <c r="D16" s="38"/>
      <c r="E16" s="121"/>
      <c r="F16" s="39">
        <v>0</v>
      </c>
      <c r="G16" s="49" t="s">
        <v>30</v>
      </c>
      <c r="H16" s="26">
        <v>26</v>
      </c>
      <c r="I16" s="40" t="s">
        <v>25</v>
      </c>
      <c r="J16" s="40" t="s">
        <v>39</v>
      </c>
      <c r="K16" s="40" t="s">
        <v>39</v>
      </c>
      <c r="L16" s="178" t="s">
        <v>193</v>
      </c>
      <c r="M16" s="26">
        <v>0</v>
      </c>
      <c r="N16" s="251">
        <v>0</v>
      </c>
      <c r="O16" s="255">
        <v>0</v>
      </c>
      <c r="P16" s="104" t="str">
        <f t="shared" si="0"/>
        <v>5250</v>
      </c>
      <c r="Q16" s="106">
        <f t="shared" si="1"/>
        <v>0</v>
      </c>
      <c r="R16" s="41">
        <f t="shared" si="2"/>
        <v>0</v>
      </c>
      <c r="S16" s="41">
        <f t="shared" si="3"/>
        <v>0</v>
      </c>
      <c r="T16" s="41">
        <f t="shared" si="15"/>
        <v>0</v>
      </c>
      <c r="U16" s="41">
        <f>Formula_TIAAHP_Range</f>
        <v>0</v>
      </c>
      <c r="V16" s="41">
        <f t="shared" si="4"/>
        <v>0</v>
      </c>
      <c r="W16" s="41">
        <f t="shared" si="5"/>
        <v>0</v>
      </c>
      <c r="X16" s="41">
        <f t="shared" si="6"/>
        <v>0</v>
      </c>
      <c r="Y16" s="41">
        <f t="shared" si="7"/>
        <v>0</v>
      </c>
      <c r="Z16" s="41">
        <f t="shared" si="8"/>
        <v>0</v>
      </c>
      <c r="AA16" s="41">
        <f t="shared" si="9"/>
        <v>0</v>
      </c>
      <c r="AB16" s="41">
        <f t="shared" si="10"/>
        <v>0</v>
      </c>
      <c r="AC16" s="41">
        <f t="shared" si="11"/>
        <v>0</v>
      </c>
      <c r="AD16" s="41">
        <f>Formula_Payroll_Accrual</f>
        <v>0</v>
      </c>
      <c r="AE16" s="41">
        <f t="shared" si="12"/>
        <v>0</v>
      </c>
      <c r="AF16" s="125">
        <f t="shared" si="13"/>
        <v>0</v>
      </c>
      <c r="AG16" s="128">
        <f t="shared" si="14"/>
        <v>0</v>
      </c>
      <c r="AH16" s="42"/>
    </row>
    <row r="17" spans="1:34" ht="16.5" customHeight="1">
      <c r="A17" s="110"/>
      <c r="B17" s="38"/>
      <c r="C17" s="38"/>
      <c r="D17" s="38"/>
      <c r="E17" s="121"/>
      <c r="F17" s="39">
        <v>0</v>
      </c>
      <c r="G17" s="49" t="s">
        <v>30</v>
      </c>
      <c r="H17" s="26">
        <v>26</v>
      </c>
      <c r="I17" s="40" t="s">
        <v>25</v>
      </c>
      <c r="J17" s="40" t="s">
        <v>39</v>
      </c>
      <c r="K17" s="40" t="s">
        <v>39</v>
      </c>
      <c r="L17" s="178" t="s">
        <v>193</v>
      </c>
      <c r="M17" s="26">
        <v>0</v>
      </c>
      <c r="N17" s="251">
        <v>0</v>
      </c>
      <c r="O17" s="255">
        <v>0</v>
      </c>
      <c r="P17" s="104" t="str">
        <f t="shared" si="0"/>
        <v>5250</v>
      </c>
      <c r="Q17" s="106">
        <f t="shared" si="1"/>
        <v>0</v>
      </c>
      <c r="R17" s="41">
        <f t="shared" si="2"/>
        <v>0</v>
      </c>
      <c r="S17" s="41">
        <f t="shared" si="3"/>
        <v>0</v>
      </c>
      <c r="T17" s="41">
        <f t="shared" si="15"/>
        <v>0</v>
      </c>
      <c r="U17" s="41">
        <f>Formula_TIAAHP_Range</f>
        <v>0</v>
      </c>
      <c r="V17" s="41">
        <f t="shared" si="4"/>
        <v>0</v>
      </c>
      <c r="W17" s="41">
        <f t="shared" si="5"/>
        <v>0</v>
      </c>
      <c r="X17" s="41">
        <f t="shared" si="6"/>
        <v>0</v>
      </c>
      <c r="Y17" s="41">
        <f t="shared" si="7"/>
        <v>0</v>
      </c>
      <c r="Z17" s="41">
        <f t="shared" si="8"/>
        <v>0</v>
      </c>
      <c r="AA17" s="41">
        <f t="shared" si="9"/>
        <v>0</v>
      </c>
      <c r="AB17" s="41">
        <f t="shared" si="10"/>
        <v>0</v>
      </c>
      <c r="AC17" s="41">
        <f t="shared" si="11"/>
        <v>0</v>
      </c>
      <c r="AD17" s="41">
        <f>Formula_Payroll_Accrual</f>
        <v>0</v>
      </c>
      <c r="AE17" s="41">
        <f t="shared" si="12"/>
        <v>0</v>
      </c>
      <c r="AF17" s="125">
        <f t="shared" si="13"/>
        <v>0</v>
      </c>
      <c r="AG17" s="128">
        <f t="shared" si="14"/>
        <v>0</v>
      </c>
      <c r="AH17" s="42"/>
    </row>
    <row r="18" spans="1:34" ht="16.5" customHeight="1">
      <c r="A18" s="110"/>
      <c r="B18" s="38"/>
      <c r="C18" s="38"/>
      <c r="D18" s="38"/>
      <c r="E18" s="121"/>
      <c r="F18" s="39">
        <v>0</v>
      </c>
      <c r="G18" s="49" t="s">
        <v>30</v>
      </c>
      <c r="H18" s="26">
        <v>26</v>
      </c>
      <c r="I18" s="40" t="s">
        <v>25</v>
      </c>
      <c r="J18" s="40" t="s">
        <v>39</v>
      </c>
      <c r="K18" s="40" t="s">
        <v>39</v>
      </c>
      <c r="L18" s="178" t="s">
        <v>193</v>
      </c>
      <c r="M18" s="26">
        <v>0</v>
      </c>
      <c r="N18" s="251">
        <v>0</v>
      </c>
      <c r="O18" s="255">
        <v>0</v>
      </c>
      <c r="P18" s="104" t="str">
        <f t="shared" si="0"/>
        <v>5250</v>
      </c>
      <c r="Q18" s="106">
        <f t="shared" si="1"/>
        <v>0</v>
      </c>
      <c r="R18" s="41">
        <f t="shared" si="2"/>
        <v>0</v>
      </c>
      <c r="S18" s="41">
        <f t="shared" si="3"/>
        <v>0</v>
      </c>
      <c r="T18" s="41">
        <f t="shared" si="15"/>
        <v>0</v>
      </c>
      <c r="U18" s="41">
        <f>Formula_TIAAHP_Range</f>
        <v>0</v>
      </c>
      <c r="V18" s="41">
        <f t="shared" si="4"/>
        <v>0</v>
      </c>
      <c r="W18" s="41">
        <f t="shared" si="5"/>
        <v>0</v>
      </c>
      <c r="X18" s="41">
        <f t="shared" si="6"/>
        <v>0</v>
      </c>
      <c r="Y18" s="41">
        <f t="shared" si="7"/>
        <v>0</v>
      </c>
      <c r="Z18" s="41">
        <f t="shared" si="8"/>
        <v>0</v>
      </c>
      <c r="AA18" s="41">
        <f t="shared" si="9"/>
        <v>0</v>
      </c>
      <c r="AB18" s="41">
        <f t="shared" si="10"/>
        <v>0</v>
      </c>
      <c r="AC18" s="41">
        <f t="shared" si="11"/>
        <v>0</v>
      </c>
      <c r="AD18" s="41">
        <f>Formula_Payroll_Accrual</f>
        <v>0</v>
      </c>
      <c r="AE18" s="41">
        <f t="shared" si="12"/>
        <v>0</v>
      </c>
      <c r="AF18" s="125">
        <f t="shared" si="13"/>
        <v>0</v>
      </c>
      <c r="AG18" s="128">
        <f t="shared" si="14"/>
        <v>0</v>
      </c>
      <c r="AH18" s="42"/>
    </row>
    <row r="19" spans="1:34" ht="16.5" customHeight="1">
      <c r="A19" s="110"/>
      <c r="B19" s="38"/>
      <c r="C19" s="38"/>
      <c r="D19" s="38"/>
      <c r="E19" s="121"/>
      <c r="F19" s="39">
        <v>0</v>
      </c>
      <c r="G19" s="49" t="s">
        <v>30</v>
      </c>
      <c r="H19" s="26">
        <v>26</v>
      </c>
      <c r="I19" s="40" t="s">
        <v>25</v>
      </c>
      <c r="J19" s="40" t="s">
        <v>39</v>
      </c>
      <c r="K19" s="40" t="s">
        <v>39</v>
      </c>
      <c r="L19" s="178" t="s">
        <v>193</v>
      </c>
      <c r="M19" s="26">
        <v>0</v>
      </c>
      <c r="N19" s="251">
        <v>0</v>
      </c>
      <c r="O19" s="255">
        <v>0</v>
      </c>
      <c r="P19" s="104" t="str">
        <f t="shared" si="0"/>
        <v>5250</v>
      </c>
      <c r="Q19" s="106">
        <f t="shared" si="1"/>
        <v>0</v>
      </c>
      <c r="R19" s="41">
        <f t="shared" si="2"/>
        <v>0</v>
      </c>
      <c r="S19" s="41">
        <f t="shared" si="3"/>
        <v>0</v>
      </c>
      <c r="T19" s="41">
        <f t="shared" si="15"/>
        <v>0</v>
      </c>
      <c r="U19" s="41">
        <f>Formula_TIAAHP_Range</f>
        <v>0</v>
      </c>
      <c r="V19" s="41">
        <f t="shared" si="4"/>
        <v>0</v>
      </c>
      <c r="W19" s="41">
        <f t="shared" si="5"/>
        <v>0</v>
      </c>
      <c r="X19" s="41">
        <f t="shared" si="6"/>
        <v>0</v>
      </c>
      <c r="Y19" s="41">
        <f t="shared" si="7"/>
        <v>0</v>
      </c>
      <c r="Z19" s="41">
        <f t="shared" si="8"/>
        <v>0</v>
      </c>
      <c r="AA19" s="41">
        <f t="shared" si="9"/>
        <v>0</v>
      </c>
      <c r="AB19" s="41">
        <f t="shared" si="10"/>
        <v>0</v>
      </c>
      <c r="AC19" s="41">
        <f t="shared" si="11"/>
        <v>0</v>
      </c>
      <c r="AD19" s="41">
        <f>Formula_Payroll_Accrual</f>
        <v>0</v>
      </c>
      <c r="AE19" s="41">
        <f t="shared" si="12"/>
        <v>0</v>
      </c>
      <c r="AF19" s="125">
        <f t="shared" si="13"/>
        <v>0</v>
      </c>
      <c r="AG19" s="128">
        <f t="shared" si="14"/>
        <v>0</v>
      </c>
      <c r="AH19" s="42"/>
    </row>
    <row r="20" spans="1:34" ht="16.5" customHeight="1">
      <c r="A20" s="110"/>
      <c r="B20" s="38"/>
      <c r="C20" s="38"/>
      <c r="D20" s="38"/>
      <c r="E20" s="121"/>
      <c r="F20" s="39">
        <v>0</v>
      </c>
      <c r="G20" s="49" t="s">
        <v>30</v>
      </c>
      <c r="H20" s="26">
        <v>26</v>
      </c>
      <c r="I20" s="40" t="s">
        <v>25</v>
      </c>
      <c r="J20" s="40" t="s">
        <v>39</v>
      </c>
      <c r="K20" s="40" t="s">
        <v>39</v>
      </c>
      <c r="L20" s="178" t="s">
        <v>193</v>
      </c>
      <c r="M20" s="26">
        <v>0</v>
      </c>
      <c r="N20" s="251">
        <v>0</v>
      </c>
      <c r="O20" s="255">
        <v>0</v>
      </c>
      <c r="P20" s="104" t="str">
        <f t="shared" si="0"/>
        <v>5250</v>
      </c>
      <c r="Q20" s="106">
        <f t="shared" si="1"/>
        <v>0</v>
      </c>
      <c r="R20" s="41">
        <f t="shared" si="2"/>
        <v>0</v>
      </c>
      <c r="S20" s="41">
        <f t="shared" si="3"/>
        <v>0</v>
      </c>
      <c r="T20" s="41">
        <f t="shared" si="15"/>
        <v>0</v>
      </c>
      <c r="U20" s="41">
        <f>Formula_TIAAHP_Range</f>
        <v>0</v>
      </c>
      <c r="V20" s="41">
        <f t="shared" si="4"/>
        <v>0</v>
      </c>
      <c r="W20" s="41">
        <f t="shared" si="5"/>
        <v>0</v>
      </c>
      <c r="X20" s="41">
        <f t="shared" si="6"/>
        <v>0</v>
      </c>
      <c r="Y20" s="41">
        <f t="shared" si="7"/>
        <v>0</v>
      </c>
      <c r="Z20" s="41">
        <f t="shared" si="8"/>
        <v>0</v>
      </c>
      <c r="AA20" s="41">
        <f t="shared" si="9"/>
        <v>0</v>
      </c>
      <c r="AB20" s="41">
        <f t="shared" si="10"/>
        <v>0</v>
      </c>
      <c r="AC20" s="41">
        <f t="shared" si="11"/>
        <v>0</v>
      </c>
      <c r="AD20" s="41">
        <f>Formula_Payroll_Accrual</f>
        <v>0</v>
      </c>
      <c r="AE20" s="41">
        <f t="shared" si="12"/>
        <v>0</v>
      </c>
      <c r="AF20" s="125">
        <f t="shared" si="13"/>
        <v>0</v>
      </c>
      <c r="AG20" s="128">
        <f t="shared" si="14"/>
        <v>0</v>
      </c>
      <c r="AH20" s="42"/>
    </row>
    <row r="21" spans="1:34" ht="16.5" customHeight="1">
      <c r="A21" s="110"/>
      <c r="B21" s="38"/>
      <c r="C21" s="38"/>
      <c r="D21" s="38"/>
      <c r="E21" s="121"/>
      <c r="F21" s="39">
        <v>0</v>
      </c>
      <c r="G21" s="49" t="s">
        <v>30</v>
      </c>
      <c r="H21" s="26">
        <v>26</v>
      </c>
      <c r="I21" s="40" t="s">
        <v>25</v>
      </c>
      <c r="J21" s="40" t="s">
        <v>39</v>
      </c>
      <c r="K21" s="40" t="s">
        <v>39</v>
      </c>
      <c r="L21" s="178" t="s">
        <v>193</v>
      </c>
      <c r="M21" s="26">
        <v>0</v>
      </c>
      <c r="N21" s="251">
        <v>0</v>
      </c>
      <c r="O21" s="255">
        <v>0</v>
      </c>
      <c r="P21" s="104" t="str">
        <f t="shared" si="0"/>
        <v>5250</v>
      </c>
      <c r="Q21" s="106">
        <f t="shared" si="1"/>
        <v>0</v>
      </c>
      <c r="R21" s="41">
        <f t="shared" si="2"/>
        <v>0</v>
      </c>
      <c r="S21" s="41">
        <f t="shared" si="3"/>
        <v>0</v>
      </c>
      <c r="T21" s="41">
        <f t="shared" si="15"/>
        <v>0</v>
      </c>
      <c r="U21" s="41">
        <f>Formula_TIAAHP_Range</f>
        <v>0</v>
      </c>
      <c r="V21" s="41">
        <f t="shared" si="4"/>
        <v>0</v>
      </c>
      <c r="W21" s="41">
        <f t="shared" si="5"/>
        <v>0</v>
      </c>
      <c r="X21" s="41">
        <f t="shared" si="6"/>
        <v>0</v>
      </c>
      <c r="Y21" s="41">
        <f t="shared" si="7"/>
        <v>0</v>
      </c>
      <c r="Z21" s="41">
        <f t="shared" si="8"/>
        <v>0</v>
      </c>
      <c r="AA21" s="41">
        <f t="shared" si="9"/>
        <v>0</v>
      </c>
      <c r="AB21" s="41">
        <f t="shared" si="10"/>
        <v>0</v>
      </c>
      <c r="AC21" s="41">
        <f t="shared" si="11"/>
        <v>0</v>
      </c>
      <c r="AD21" s="41">
        <f>Formula_Payroll_Accrual</f>
        <v>0</v>
      </c>
      <c r="AE21" s="41">
        <f t="shared" si="12"/>
        <v>0</v>
      </c>
      <c r="AF21" s="125">
        <f t="shared" si="13"/>
        <v>0</v>
      </c>
      <c r="AG21" s="128">
        <f t="shared" si="14"/>
        <v>0</v>
      </c>
      <c r="AH21" s="42"/>
    </row>
    <row r="22" spans="1:34" ht="16.5" customHeight="1">
      <c r="A22" s="110"/>
      <c r="B22" s="38"/>
      <c r="C22" s="38"/>
      <c r="D22" s="38"/>
      <c r="E22" s="121"/>
      <c r="F22" s="39">
        <v>0</v>
      </c>
      <c r="G22" s="49" t="s">
        <v>30</v>
      </c>
      <c r="H22" s="26">
        <v>26</v>
      </c>
      <c r="I22" s="40" t="s">
        <v>25</v>
      </c>
      <c r="J22" s="40" t="s">
        <v>39</v>
      </c>
      <c r="K22" s="40" t="s">
        <v>39</v>
      </c>
      <c r="L22" s="178" t="s">
        <v>193</v>
      </c>
      <c r="M22" s="26">
        <v>0</v>
      </c>
      <c r="N22" s="251">
        <v>0</v>
      </c>
      <c r="O22" s="255">
        <v>0</v>
      </c>
      <c r="P22" s="104" t="str">
        <f t="shared" si="0"/>
        <v>5250</v>
      </c>
      <c r="Q22" s="106">
        <f t="shared" si="1"/>
        <v>0</v>
      </c>
      <c r="R22" s="41">
        <f t="shared" si="2"/>
        <v>0</v>
      </c>
      <c r="S22" s="41">
        <f t="shared" si="3"/>
        <v>0</v>
      </c>
      <c r="T22" s="41">
        <f t="shared" si="15"/>
        <v>0</v>
      </c>
      <c r="U22" s="41">
        <f>Formula_TIAAHP_Range</f>
        <v>0</v>
      </c>
      <c r="V22" s="41">
        <f t="shared" si="4"/>
        <v>0</v>
      </c>
      <c r="W22" s="41">
        <f t="shared" si="5"/>
        <v>0</v>
      </c>
      <c r="X22" s="41">
        <f t="shared" si="6"/>
        <v>0</v>
      </c>
      <c r="Y22" s="41">
        <f t="shared" si="7"/>
        <v>0</v>
      </c>
      <c r="Z22" s="41">
        <f t="shared" si="8"/>
        <v>0</v>
      </c>
      <c r="AA22" s="41">
        <f t="shared" si="9"/>
        <v>0</v>
      </c>
      <c r="AB22" s="41">
        <f t="shared" si="10"/>
        <v>0</v>
      </c>
      <c r="AC22" s="41">
        <f t="shared" si="11"/>
        <v>0</v>
      </c>
      <c r="AD22" s="41">
        <f>Formula_Payroll_Accrual</f>
        <v>0</v>
      </c>
      <c r="AE22" s="41">
        <f t="shared" si="12"/>
        <v>0</v>
      </c>
      <c r="AF22" s="125">
        <f t="shared" si="13"/>
        <v>0</v>
      </c>
      <c r="AG22" s="128">
        <f t="shared" si="14"/>
        <v>0</v>
      </c>
      <c r="AH22" s="42"/>
    </row>
    <row r="23" spans="1:34" ht="16.5" customHeight="1">
      <c r="A23" s="110"/>
      <c r="B23" s="38"/>
      <c r="C23" s="38"/>
      <c r="D23" s="38"/>
      <c r="E23" s="121"/>
      <c r="F23" s="39">
        <v>0</v>
      </c>
      <c r="G23" s="49" t="s">
        <v>30</v>
      </c>
      <c r="H23" s="26">
        <v>26</v>
      </c>
      <c r="I23" s="40" t="s">
        <v>25</v>
      </c>
      <c r="J23" s="40" t="s">
        <v>39</v>
      </c>
      <c r="K23" s="40" t="s">
        <v>39</v>
      </c>
      <c r="L23" s="178" t="s">
        <v>193</v>
      </c>
      <c r="M23" s="26">
        <v>0</v>
      </c>
      <c r="N23" s="251">
        <v>0</v>
      </c>
      <c r="O23" s="255">
        <v>0</v>
      </c>
      <c r="P23" s="104" t="str">
        <f t="shared" si="0"/>
        <v>5250</v>
      </c>
      <c r="Q23" s="106">
        <f t="shared" si="1"/>
        <v>0</v>
      </c>
      <c r="R23" s="41">
        <f t="shared" si="2"/>
        <v>0</v>
      </c>
      <c r="S23" s="41">
        <f t="shared" si="3"/>
        <v>0</v>
      </c>
      <c r="T23" s="41">
        <f t="shared" si="15"/>
        <v>0</v>
      </c>
      <c r="U23" s="41">
        <f>Formula_TIAAHP_Range</f>
        <v>0</v>
      </c>
      <c r="V23" s="41">
        <f t="shared" si="4"/>
        <v>0</v>
      </c>
      <c r="W23" s="41">
        <f t="shared" si="5"/>
        <v>0</v>
      </c>
      <c r="X23" s="41">
        <f t="shared" si="6"/>
        <v>0</v>
      </c>
      <c r="Y23" s="41">
        <f t="shared" si="7"/>
        <v>0</v>
      </c>
      <c r="Z23" s="41">
        <f t="shared" si="8"/>
        <v>0</v>
      </c>
      <c r="AA23" s="41">
        <f t="shared" si="9"/>
        <v>0</v>
      </c>
      <c r="AB23" s="41">
        <f t="shared" si="10"/>
        <v>0</v>
      </c>
      <c r="AC23" s="41">
        <f t="shared" si="11"/>
        <v>0</v>
      </c>
      <c r="AD23" s="41">
        <f>Formula_Payroll_Accrual</f>
        <v>0</v>
      </c>
      <c r="AE23" s="41">
        <f t="shared" si="12"/>
        <v>0</v>
      </c>
      <c r="AF23" s="125">
        <f t="shared" si="13"/>
        <v>0</v>
      </c>
      <c r="AG23" s="128">
        <f t="shared" si="14"/>
        <v>0</v>
      </c>
      <c r="AH23" s="42"/>
    </row>
    <row r="24" spans="1:34" ht="16.5" customHeight="1">
      <c r="A24" s="110"/>
      <c r="B24" s="38"/>
      <c r="C24" s="38"/>
      <c r="D24" s="38"/>
      <c r="E24" s="121"/>
      <c r="F24" s="39">
        <v>0</v>
      </c>
      <c r="G24" s="49" t="s">
        <v>30</v>
      </c>
      <c r="H24" s="26">
        <v>26</v>
      </c>
      <c r="I24" s="40" t="s">
        <v>25</v>
      </c>
      <c r="J24" s="40" t="s">
        <v>39</v>
      </c>
      <c r="K24" s="40" t="s">
        <v>39</v>
      </c>
      <c r="L24" s="178" t="s">
        <v>193</v>
      </c>
      <c r="M24" s="26">
        <v>0</v>
      </c>
      <c r="N24" s="251">
        <v>0</v>
      </c>
      <c r="O24" s="255">
        <v>0</v>
      </c>
      <c r="P24" s="104" t="str">
        <f t="shared" si="0"/>
        <v>5250</v>
      </c>
      <c r="Q24" s="106">
        <f t="shared" si="1"/>
        <v>0</v>
      </c>
      <c r="R24" s="41">
        <f t="shared" si="2"/>
        <v>0</v>
      </c>
      <c r="S24" s="41">
        <f t="shared" si="3"/>
        <v>0</v>
      </c>
      <c r="T24" s="41">
        <f t="shared" si="15"/>
        <v>0</v>
      </c>
      <c r="U24" s="41">
        <f>Formula_TIAAHP_Range</f>
        <v>0</v>
      </c>
      <c r="V24" s="41">
        <f t="shared" si="4"/>
        <v>0</v>
      </c>
      <c r="W24" s="41">
        <f t="shared" si="5"/>
        <v>0</v>
      </c>
      <c r="X24" s="41">
        <f t="shared" si="6"/>
        <v>0</v>
      </c>
      <c r="Y24" s="41">
        <f t="shared" si="7"/>
        <v>0</v>
      </c>
      <c r="Z24" s="41">
        <f t="shared" si="8"/>
        <v>0</v>
      </c>
      <c r="AA24" s="41">
        <f t="shared" si="9"/>
        <v>0</v>
      </c>
      <c r="AB24" s="41">
        <f t="shared" si="10"/>
        <v>0</v>
      </c>
      <c r="AC24" s="41">
        <f t="shared" si="11"/>
        <v>0</v>
      </c>
      <c r="AD24" s="41">
        <f>Formula_Payroll_Accrual</f>
        <v>0</v>
      </c>
      <c r="AE24" s="41">
        <f t="shared" si="12"/>
        <v>0</v>
      </c>
      <c r="AF24" s="125">
        <f t="shared" si="13"/>
        <v>0</v>
      </c>
      <c r="AG24" s="128">
        <f t="shared" si="14"/>
        <v>0</v>
      </c>
      <c r="AH24" s="42"/>
    </row>
    <row r="25" spans="1:34" ht="16.5" customHeight="1">
      <c r="A25" s="110"/>
      <c r="B25" s="38"/>
      <c r="C25" s="38"/>
      <c r="D25" s="38"/>
      <c r="E25" s="121"/>
      <c r="F25" s="39">
        <v>0</v>
      </c>
      <c r="G25" s="49" t="s">
        <v>30</v>
      </c>
      <c r="H25" s="26">
        <v>26</v>
      </c>
      <c r="I25" s="40" t="s">
        <v>25</v>
      </c>
      <c r="J25" s="40" t="s">
        <v>39</v>
      </c>
      <c r="K25" s="40" t="s">
        <v>39</v>
      </c>
      <c r="L25" s="178" t="s">
        <v>193</v>
      </c>
      <c r="M25" s="26">
        <v>0</v>
      </c>
      <c r="N25" s="251">
        <v>0</v>
      </c>
      <c r="O25" s="255">
        <v>0</v>
      </c>
      <c r="P25" s="104" t="str">
        <f t="shared" si="0"/>
        <v>5250</v>
      </c>
      <c r="Q25" s="106">
        <f t="shared" si="1"/>
        <v>0</v>
      </c>
      <c r="R25" s="41">
        <f t="shared" si="2"/>
        <v>0</v>
      </c>
      <c r="S25" s="41">
        <f t="shared" si="3"/>
        <v>0</v>
      </c>
      <c r="T25" s="41">
        <f t="shared" si="15"/>
        <v>0</v>
      </c>
      <c r="U25" s="41">
        <f>Formula_TIAAHP_Range</f>
        <v>0</v>
      </c>
      <c r="V25" s="41">
        <f t="shared" si="4"/>
        <v>0</v>
      </c>
      <c r="W25" s="41">
        <f t="shared" si="5"/>
        <v>0</v>
      </c>
      <c r="X25" s="41">
        <f t="shared" si="6"/>
        <v>0</v>
      </c>
      <c r="Y25" s="41">
        <f t="shared" si="7"/>
        <v>0</v>
      </c>
      <c r="Z25" s="41">
        <f t="shared" si="8"/>
        <v>0</v>
      </c>
      <c r="AA25" s="41">
        <f t="shared" si="9"/>
        <v>0</v>
      </c>
      <c r="AB25" s="41">
        <f t="shared" si="10"/>
        <v>0</v>
      </c>
      <c r="AC25" s="41">
        <f t="shared" si="11"/>
        <v>0</v>
      </c>
      <c r="AD25" s="41">
        <f>Formula_Payroll_Accrual</f>
        <v>0</v>
      </c>
      <c r="AE25" s="41">
        <f t="shared" si="12"/>
        <v>0</v>
      </c>
      <c r="AF25" s="125">
        <f t="shared" si="13"/>
        <v>0</v>
      </c>
      <c r="AG25" s="128">
        <f t="shared" si="14"/>
        <v>0</v>
      </c>
      <c r="AH25" s="42"/>
    </row>
    <row r="26" spans="1:34" ht="16.5" customHeight="1">
      <c r="A26" s="110"/>
      <c r="B26" s="38"/>
      <c r="C26" s="38"/>
      <c r="D26" s="38"/>
      <c r="E26" s="121"/>
      <c r="F26" s="39">
        <v>0</v>
      </c>
      <c r="G26" s="49" t="s">
        <v>30</v>
      </c>
      <c r="H26" s="26">
        <v>26</v>
      </c>
      <c r="I26" s="40" t="s">
        <v>25</v>
      </c>
      <c r="J26" s="40" t="s">
        <v>39</v>
      </c>
      <c r="K26" s="40" t="s">
        <v>39</v>
      </c>
      <c r="L26" s="178" t="s">
        <v>193</v>
      </c>
      <c r="M26" s="26">
        <v>0</v>
      </c>
      <c r="N26" s="251">
        <v>0</v>
      </c>
      <c r="O26" s="255">
        <v>0</v>
      </c>
      <c r="P26" s="104" t="str">
        <f t="shared" si="0"/>
        <v>5250</v>
      </c>
      <c r="Q26" s="106">
        <f t="shared" si="1"/>
        <v>0</v>
      </c>
      <c r="R26" s="41">
        <f t="shared" si="2"/>
        <v>0</v>
      </c>
      <c r="S26" s="41">
        <f t="shared" si="3"/>
        <v>0</v>
      </c>
      <c r="T26" s="41">
        <f t="shared" si="15"/>
        <v>0</v>
      </c>
      <c r="U26" s="41">
        <f>Formula_TIAAHP_Range</f>
        <v>0</v>
      </c>
      <c r="V26" s="41">
        <f t="shared" si="4"/>
        <v>0</v>
      </c>
      <c r="W26" s="41">
        <f t="shared" si="5"/>
        <v>0</v>
      </c>
      <c r="X26" s="41">
        <f t="shared" si="6"/>
        <v>0</v>
      </c>
      <c r="Y26" s="41">
        <f t="shared" si="7"/>
        <v>0</v>
      </c>
      <c r="Z26" s="41">
        <f t="shared" si="8"/>
        <v>0</v>
      </c>
      <c r="AA26" s="41">
        <f t="shared" si="9"/>
        <v>0</v>
      </c>
      <c r="AB26" s="41">
        <f t="shared" si="10"/>
        <v>0</v>
      </c>
      <c r="AC26" s="41">
        <f t="shared" si="11"/>
        <v>0</v>
      </c>
      <c r="AD26" s="41">
        <f>Formula_Payroll_Accrual</f>
        <v>0</v>
      </c>
      <c r="AE26" s="41">
        <f t="shared" si="12"/>
        <v>0</v>
      </c>
      <c r="AF26" s="125">
        <f t="shared" si="13"/>
        <v>0</v>
      </c>
      <c r="AG26" s="128">
        <f t="shared" si="14"/>
        <v>0</v>
      </c>
      <c r="AH26" s="42"/>
    </row>
    <row r="27" spans="1:34" ht="16.5" customHeight="1">
      <c r="A27" s="110"/>
      <c r="B27" s="38"/>
      <c r="C27" s="38"/>
      <c r="D27" s="38"/>
      <c r="E27" s="121"/>
      <c r="F27" s="39">
        <v>0</v>
      </c>
      <c r="G27" s="49" t="s">
        <v>30</v>
      </c>
      <c r="H27" s="26">
        <v>26</v>
      </c>
      <c r="I27" s="40" t="s">
        <v>25</v>
      </c>
      <c r="J27" s="40" t="s">
        <v>39</v>
      </c>
      <c r="K27" s="40" t="s">
        <v>39</v>
      </c>
      <c r="L27" s="178" t="s">
        <v>193</v>
      </c>
      <c r="M27" s="26">
        <v>0</v>
      </c>
      <c r="N27" s="251">
        <v>0</v>
      </c>
      <c r="O27" s="255">
        <v>0</v>
      </c>
      <c r="P27" s="104" t="str">
        <f t="shared" si="0"/>
        <v>5250</v>
      </c>
      <c r="Q27" s="106">
        <f t="shared" si="1"/>
        <v>0</v>
      </c>
      <c r="R27" s="41">
        <f t="shared" si="2"/>
        <v>0</v>
      </c>
      <c r="S27" s="41">
        <f t="shared" si="3"/>
        <v>0</v>
      </c>
      <c r="T27" s="41">
        <f t="shared" si="15"/>
        <v>0</v>
      </c>
      <c r="U27" s="41">
        <f>Formula_TIAAHP_Range</f>
        <v>0</v>
      </c>
      <c r="V27" s="41">
        <f t="shared" si="4"/>
        <v>0</v>
      </c>
      <c r="W27" s="41">
        <f t="shared" si="5"/>
        <v>0</v>
      </c>
      <c r="X27" s="41">
        <f t="shared" si="6"/>
        <v>0</v>
      </c>
      <c r="Y27" s="41">
        <f t="shared" si="7"/>
        <v>0</v>
      </c>
      <c r="Z27" s="41">
        <f t="shared" si="8"/>
        <v>0</v>
      </c>
      <c r="AA27" s="41">
        <f t="shared" si="9"/>
        <v>0</v>
      </c>
      <c r="AB27" s="41">
        <f t="shared" si="10"/>
        <v>0</v>
      </c>
      <c r="AC27" s="41">
        <f t="shared" si="11"/>
        <v>0</v>
      </c>
      <c r="AD27" s="41">
        <f>Formula_Payroll_Accrual</f>
        <v>0</v>
      </c>
      <c r="AE27" s="41">
        <f t="shared" si="12"/>
        <v>0</v>
      </c>
      <c r="AF27" s="125">
        <f t="shared" si="13"/>
        <v>0</v>
      </c>
      <c r="AG27" s="128">
        <f t="shared" si="14"/>
        <v>0</v>
      </c>
      <c r="AH27" s="42"/>
    </row>
    <row r="28" spans="1:34" ht="16.5" customHeight="1" thickBot="1">
      <c r="A28" s="111"/>
      <c r="B28" s="112"/>
      <c r="C28" s="113"/>
      <c r="D28" s="113"/>
      <c r="E28" s="122"/>
      <c r="F28" s="114"/>
      <c r="G28" s="115"/>
      <c r="H28" s="116"/>
      <c r="I28" s="117"/>
      <c r="J28" s="117"/>
      <c r="K28" s="117"/>
      <c r="L28" s="117"/>
      <c r="M28" s="116"/>
      <c r="N28" s="252"/>
      <c r="O28" s="252"/>
      <c r="P28" s="115"/>
      <c r="Q28" s="118"/>
      <c r="R28" s="114"/>
      <c r="S28" s="114"/>
      <c r="T28" s="114"/>
      <c r="U28" s="114"/>
      <c r="V28" s="114"/>
      <c r="W28" s="114"/>
      <c r="X28" s="114"/>
      <c r="Y28" s="114"/>
      <c r="Z28" s="114"/>
      <c r="AA28" s="114"/>
      <c r="AB28" s="114"/>
      <c r="AC28" s="114"/>
      <c r="AD28" s="114"/>
      <c r="AE28" s="114"/>
      <c r="AF28" s="126"/>
      <c r="AG28" s="129"/>
      <c r="AH28" s="119"/>
    </row>
    <row r="29" spans="1:34" s="24" customFormat="1">
      <c r="A29" s="37" t="str">
        <f ca="1">Formula_warning</f>
        <v>To maintain formulas integrity, if needed, insert rows only above row # 28 (by either inserting an empty row and copying formulas, or by copying an entire row from this tab and changing the input data)</v>
      </c>
      <c r="B29" s="22"/>
      <c r="C29" s="22"/>
      <c r="D29" s="22"/>
      <c r="E29" s="22"/>
      <c r="F29" s="22"/>
      <c r="G29" s="23"/>
      <c r="H29" s="22"/>
      <c r="I29" s="23"/>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c r="B30" s="48"/>
    </row>
    <row r="31" spans="1:34">
      <c r="B31" s="6"/>
    </row>
    <row r="33" spans="12:12">
      <c r="L33" s="181"/>
    </row>
  </sheetData>
  <sheetProtection insertRows="0" deleteRows="0"/>
  <autoFilter ref="A6:AH28" xr:uid="{00000000-0009-0000-0000-000003000000}"/>
  <dataConsolidate/>
  <phoneticPr fontId="3" type="noConversion"/>
  <conditionalFormatting sqref="F7:G27 N7:O27 J7:K27">
    <cfRule type="expression" dxfId="9" priority="1" stopIfTrue="1">
      <formula>ISBLANK(F7)</formula>
    </cfRule>
  </conditionalFormatting>
  <conditionalFormatting sqref="H7:H27 M7:M27">
    <cfRule type="expression" dxfId="8" priority="5" stopIfTrue="1">
      <formula>ISBLANK(H7)</formula>
    </cfRule>
    <cfRule type="expression" dxfId="7" priority="6" stopIfTrue="1">
      <formula>AND(OR(NOT($M7=26.1),NOT($H7=26)),$H7&lt;$M7)</formula>
    </cfRule>
  </conditionalFormatting>
  <conditionalFormatting sqref="Q7:AG27">
    <cfRule type="expression" dxfId="6" priority="7" stopIfTrue="1">
      <formula>ISBLANK(Q7)</formula>
    </cfRule>
    <cfRule type="expression" dxfId="5" priority="8" stopIfTrue="1">
      <formula>ISTEXT(Q7)</formula>
    </cfRule>
    <cfRule type="cellIs" dxfId="4" priority="9" stopIfTrue="1" operator="equal">
      <formula>0</formula>
    </cfRule>
  </conditionalFormatting>
  <conditionalFormatting sqref="P7:P27">
    <cfRule type="expression" dxfId="3" priority="10" stopIfTrue="1">
      <formula>ISBLANK(P7)</formula>
    </cfRule>
    <cfRule type="expression" dxfId="2" priority="11" stopIfTrue="1">
      <formula>$AG7=0</formula>
    </cfRule>
  </conditionalFormatting>
  <conditionalFormatting sqref="I7:I27">
    <cfRule type="expression" dxfId="1" priority="34" stopIfTrue="1">
      <formula>ISBLANK(I7)</formula>
    </cfRule>
    <cfRule type="expression" dxfId="0" priority="36" stopIfTrue="1">
      <formula>AND(OR($I7="ACT",$I7="L528",$I7="NURS",$I7="NUCL",$I7="AAUP",$I7="NUFA",$I7="Vacant - Not Known"),($L7="Yes"))</formula>
    </cfRule>
  </conditionalFormatting>
  <dataValidations count="51">
    <dataValidation allowBlank="1" showInputMessage="1" showErrorMessage="1" promptTitle="Insert rows only above this row!" prompt="_x000a_Instructions:_x000a_Use one of the following methods:_x000a_- insert an empty row and copy formulas in the results section_x000a_- copy an entire row from this tab and make changes to the  input data section_x000a__x000a_DO NOT DELETE THIS ROW!_x000a_DO NOT WRITE IN THIS ROW" sqref="A28:AH28" xr:uid="{00000000-0002-0000-0300-000000000000}"/>
    <dataValidation allowBlank="1" showInputMessage="1" showErrorMessage="1" promptTitle="Do not insert rows here!" prompt="_x000a_If needed, insert rows ONLY ABOVE the shaded row_x000a__x000a_Instructions:_x000a_Use one of the following methods:_x000a_- insert an empty row and copy formulas in the results section_x000a_- copy an entire row from this tab and make changes to the input  data section" sqref="AI30:AI130 A29:AH130" xr:uid="{00000000-0002-0000-0300-000001000000}"/>
    <dataValidation allowBlank="1" sqref="P7:P27" xr:uid="{00000000-0002-0000-0300-000002000000}"/>
    <dataValidation allowBlank="1" showInputMessage="1" showErrorMessage="1" promptTitle="Formula needed if cell is red!" prompt="_x000a_It shows the account that will reflect the budgeted amount. _x000a__x000a_Formula:_x000a_= &quot;5210&quot; for all classifieds_x000a_= &quot;5250&quot; for all non-classifieds and faculty" sqref="P5:P6" xr:uid="{00000000-0002-0000-0300-000003000000}"/>
    <dataValidation allowBlank="1" showInputMessage="1" showErrorMessage="1" promptTitle="Formula needed if cell is red!" prompt="_x000a_It shows the salary amount that should be budgeted in the corresponding CFS._x000a__x000a_Formula:_x000a_= Total Yearly Salary * (Pay-periods in CFS / Position Pay-periods) * Percentage of Total Salary in CFS" sqref="Q5:Q6" xr:uid="{00000000-0002-0000-0300-000004000000}"/>
    <dataValidation allowBlank="1" showInputMessage="1" showErrorMessage="1" prompt="It shows the total for the current selection (given by filtered values)" sqref="Q3:AG3" xr:uid="{00000000-0002-0000-0300-000005000000}"/>
    <dataValidation type="decimal" allowBlank="1" showInputMessage="1" showErrorMessage="1" errorTitle="Budget Office" error="Please enter a number between 0% and 100%." sqref="N7:N27" xr:uid="{00000000-0002-0000-0300-000006000000}">
      <formula1>0</formula1>
      <formula2>1</formula2>
    </dataValidation>
    <dataValidation allowBlank="1" showInputMessage="1" showErrorMessage="1" promptTitle="Waiver" prompt="_x000a_Agency cost of the annual cash bonus paid to employees who waive participation in private health insurance plans purchased by the state. . The bonus is pro-rated." sqref="AE5" xr:uid="{00000000-0002-0000-0300-000007000000}"/>
    <dataValidation allowBlank="1" showInputMessage="1" showErrorMessage="1" promptTitle="Vision" prompt="_x000a_Cost of the amount paid for vision care coverage on behalf of employees participating in a private health insurance plan." sqref="AC5" xr:uid="{00000000-0002-0000-0300-000008000000}"/>
    <dataValidation allowBlank="1" showInputMessage="1" showErrorMessage="1" promptTitle="Dental" prompt="_x000a_Cost of the amount paid for dental care coverage on behalf of employees participating in a private health insurance plan." sqref="AB5" xr:uid="{00000000-0002-0000-0300-000009000000}"/>
    <dataValidation allowBlank="1" showInputMessage="1" showErrorMessage="1" promptTitle="Medical" prompt="_x000a_Cost of the amount paid for medical care coverage on behalf of employees participating in a private health insurance plan." sqref="AA5" xr:uid="{00000000-0002-0000-03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Y5" xr:uid="{00000000-0002-0000-03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X5" xr:uid="{00000000-0002-0000-0300-00000C000000}"/>
    <dataValidation allowBlank="1" showInputMessage="1" showErrorMessage="1" promptTitle="TIAA" prompt="_x000a_Cost of the amount paid on behalf of employees to TIAA for tax shelter annuities and/or for retirement purposes." sqref="W5" xr:uid="{00000000-0002-0000-03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V5" xr:uid="{00000000-0002-0000-03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S5:T5" xr:uid="{00000000-0002-0000-03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R5" xr:uid="{00000000-0002-0000-0300-000010000000}"/>
    <dataValidation allowBlank="1" showInputMessage="1" showErrorMessage="1" promptTitle="Formula needed if cell is red!" prompt="_x000a_It shows the fringe amount that should be budgeted in the corresponding CFS._x000a__x000a_Formula:_x000a_= ERS + FICA + SAFB + TIAA + SBA + ERSRHI + MEDICAL + DENTAL + VISION + WAIVER_x000a_" sqref="AF5:AF6" xr:uid="{00000000-0002-0000-0300-000011000000}"/>
    <dataValidation allowBlank="1" showInputMessage="1" showErrorMessage="1" promptTitle="Formula needed if cell is red!" prompt="_x000a_It shows the total amount that should be budgeted in the corresponding CFS._x000a__x000a_Formula:_x000a_= Sub-total Salary + Sub-total Fringe" sqref="AG5:AG6" xr:uid="{00000000-0002-0000-0300-000012000000}"/>
    <dataValidation allowBlank="1" showErrorMessage="1" sqref="R7:AF27" xr:uid="{00000000-0002-0000-0300-000013000000}"/>
    <dataValidation allowBlank="1" showInputMessage="1" showErrorMessage="1" promptTitle="Formula needed if cell is red!" prompt="_x000a_It shows the amount that should be budgeted for the corresponding fringe account._x000a__x000a_Do not change formula." sqref="R6:AE6" xr:uid="{00000000-0002-0000-0300-000014000000}"/>
    <dataValidation operator="equal" allowBlank="1" showInputMessage="1" showErrorMessage="1" errorTitle="Budget Office" error="Please use the drop-down list or enter the desired CFS in a &quot;000-0000-0000&quot; format_x000a_(&quot;fund-department-program&quot;)_x000a__x000a_If CFS is not on the drop-down list, insert the new CFS on the &quot;Personnel Summary&quot; tab below all listed CFS's. " sqref="A7:A27" xr:uid="{00000000-0002-0000-0300-000015000000}"/>
    <dataValidation type="list" allowBlank="1" showErrorMessage="1" errorTitle="Budget Office" error="Please used the drop-down list or enter a valid retirement plan (as listed in the &quot;Codes &amp; Rates&quot; tab)._x000a_" promptTitle="Retirement Plan" prompt="_x000a_Input the corresponding retirement plan._x000a__x000a_Use the drop-down menu or enter one of the plans listed in the &quot;Codes &amp; Rates&quot; tab" sqref="K7:K27" xr:uid="{00000000-0002-0000-0300-000016000000}">
      <formula1>Retirement_plan_table</formula1>
    </dataValidation>
    <dataValidation type="list" allowBlank="1" showErrorMessage="1" errorTitle="Budget Office" error="Please used the drop-down list or enter a valid health plan (as listed in the &quot;Codes &amp; Rates&quot; tab)._x000a_" promptTitle="Health Plan" prompt="_x000a_Input the corresponding health plan. _x000a__x000a_Use the drop-down menu or enter one of the plans listed in the &quot;Codes &amp; Rates&quot; tab" sqref="J7:J27" xr:uid="{00000000-0002-0000-0300-000017000000}">
      <formula1>Health_plan_table</formula1>
    </dataValidation>
    <dataValidation type="list" allowBlank="1" showErrorMessage="1" errorTitle="Budget Office" error="Please used the drop-down list or enter a valid union (as listed in the &quot;Codes &amp; Rates&quot; tab)._x000a_" promptTitle="Union" prompt="_x000a_Input the corresponding union._x000a__x000a_Use the drop-down menu or enter one of the unions listed in the &quot;Codes &amp; Rates&quot; tab" sqref="I7:I27" xr:uid="{00000000-0002-0000-0300-000018000000}">
      <formula1>Union_table</formula1>
    </dataValidation>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G7:G27" xr:uid="{00000000-0002-0000-0300-000019000000}">
      <formula1>"Clas,Nonc,Facu"</formula1>
    </dataValidation>
    <dataValidation type="decimal" showErrorMessage="1" errorTitle="Budget Office" error="Please enter a number greater than 0 and less than or equal to 26._x000a__x000a_" sqref="H7:H27" xr:uid="{00000000-0002-0000-0300-00001A000000}">
      <formula1>0.1</formula1>
      <formula2>26</formula2>
    </dataValidation>
    <dataValidation type="decimal" operator="greaterThanOrEqual" allowBlank="1" showInputMessage="1" showErrorMessage="1" errorTitle="Budget Office" error="Please enter a positive number!" sqref="F7:F27" xr:uid="{00000000-0002-0000-0300-00001B000000}">
      <formula1>0</formula1>
    </dataValidation>
    <dataValidation allowBlank="1" showInputMessage="1" promptTitle="Value needed if cell is red!" prompt="_x000a_Input the total yearly salary for the corresponding position. _x000a__x000a_(required for calculations)" sqref="F6" xr:uid="{00000000-0002-0000-0300-00001C000000}"/>
    <dataValidation allowBlank="1" showInputMessage="1" showErrorMessage="1" promptTitle="Value needed if cell is red!"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_x000a__x000a_(required for calculations)" sqref="G6" xr:uid="{00000000-0002-0000-0300-00001D000000}"/>
    <dataValidation allowBlank="1" showInputMessage="1" showErrorMessage="1" promptTitle="Value needed if cell is red!" prompt="_x000a_Input the yearly number of pay-periods that corresponds to this position._x000a__x000a_Instructions:_x000a_- Enter a number greater than 0 and less than or equal to 26._x000a__x000a_(required for calculations)" sqref="H6" xr:uid="{00000000-0002-0000-0300-00001E000000}"/>
    <dataValidation allowBlank="1" showInputMessage="1" showErrorMessage="1" promptTitle="Value needed if cell is red!" prompt="_x000a_Input the union._x000a__x000a_Instructions:_x000a_- Use the drop-down list that appears when clicking inside the cell, or enter one of the unions listed in the &quot;Codes &amp; Rates&quot; tab._x000a__x000a_(required for calculations)" sqref="I6" xr:uid="{00000000-0002-0000-0300-00001F000000}"/>
    <dataValidation allowBlank="1" showInputMessage="1" showErrorMessage="1" promptTitle="Value needed if cell is red!" prompt="_x000a_Input the health plan._x000a__x000a_Instructions:_x000a_- Use the drop-down list that appears when clicking inside the cell, or enter one of the plans listed in the &quot;Codes &amp; Rates&quot; tab._x000a__x000a_(required for calculations)" sqref="J6" xr:uid="{00000000-0002-0000-0300-000020000000}"/>
    <dataValidation allowBlank="1" showInputMessage="1" showErrorMessage="1" promptTitle="Value needed if cell is red!" prompt="_x000a_Input ther retirement plan._x000a__x000a_Instructions:_x000a_- Use the drop-down list that appears when clicking inside the cell, or enter one of the plans listed in the &quot;Codes &amp; Rates&quot; tab._x000a__x000a_(required for calculations)" sqref="K6" xr:uid="{00000000-0002-0000-0300-000021000000}"/>
    <dataValidation allowBlank="1" showInputMessage="1" showErrorMessage="1" promptTitle="Value needed if cell is red!" prompt="_x000a_Input the number of pay-periods that the employee is expected to work in the corresponding CFS. _x000a__x000a_Instructions:_x000a_- Enter a number between 0 and 26, smaller than or equal to the '# of Pay-periods for the position'._x000a__x000a_(required for calculations)" sqref="M6" xr:uid="{00000000-0002-0000-0300-000022000000}"/>
    <dataValidation allowBlank="1" showInputMessage="1" errorTitle="Budget Office" error="Please enter a valid number." promptTitle="Value needed if cell is red!" prompt="_x000a_Input the percentage of total salary budgeted in the corresponding CFS for the number of pay-periods indicated._x000a__x000a_Instructions:_x000a_- Enter a number between 0% and 100%._x000a__x000a_(required for calculations)" sqref="N6" xr:uid="{00000000-0002-0000-0300-000023000000}"/>
    <dataValidation allowBlank="1" showInputMessage="1" showErrorMessage="1" prompt="Input name if desired._x000a__x000a_(not required for calculations)" sqref="E6" xr:uid="{00000000-0002-0000-0300-000024000000}"/>
    <dataValidation allowBlank="1" showInputMessage="1" showErrorMessage="1" prompt="Input position title if desired._x000a__x000a_(not required for calculations)" sqref="D6" xr:uid="{00000000-0002-0000-0300-000025000000}"/>
    <dataValidation allowBlank="1" showInputMessage="1" showErrorMessage="1" prompt="Input State position # if desired._x000a__x000a_(not required for calculations)" sqref="C6" xr:uid="{00000000-0002-0000-0300-000026000000}"/>
    <dataValidation allowBlank="1" showInputMessage="1" showErrorMessage="1" prompt="Input PeopleSoft position # if desired._x000a__x000a_(not required for calculations)" sqref="B6" xr:uid="{00000000-0002-0000-0300-000027000000}"/>
    <dataValidation allowBlank="1" showInputMessage="1" showErrorMessage="1" prompt="Input CFS if desired._x000a__x000a_(not required for calculations)" sqref="A6" xr:uid="{00000000-0002-0000-0300-000028000000}"/>
    <dataValidation allowBlank="1" showInputMessage="1" showErrorMessage="1" prompt="_x000a_Optional data fields. _x000a__x000a_Input only if desired." sqref="A5:E5" xr:uid="{00000000-0002-0000-0300-000029000000}"/>
    <dataValidation allowBlank="1" showInputMessage="1" showErrorMessage="1" prompt="_x000a_Required data fields._x000a__x000a_Input is needed for calculations." sqref="F5:O5" xr:uid="{00000000-0002-0000-0300-00002A000000}"/>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M7:M27" xr:uid="{00000000-0002-0000-0300-00002B000000}">
      <formula1>0</formula1>
      <formula2>26.1</formula2>
    </dataValidation>
    <dataValidation allowBlank="1" showInputMessage="1" showErrorMessage="1" promptTitle="BOG RHBP" prompt="_x000a_State contribution to restricted employee’s retirement fund for retiree’s health insurance. State percentage is based on the former employee’s length of service.  Applies to NUNC, PSA and PTAA participating employees._x000a_" sqref="Z5" xr:uid="{00000000-0002-0000-0300-00002C000000}"/>
    <dataValidation allowBlank="1" showInputMessage="1" showErrorMessage="1" promptTitle="Value needed if cell is red!" prompt="_x000a_Specify if the employee is a participant in the Retiree health benefit program._x000a__x000a_Instructions:_x000a_- Enter &quot;Yes&quot; or &quot;No&quot;. Applies only to NUNC, PSA, PTAA, URIP and MPA participating employees._x000a__x000a_(required for calculations)" sqref="L6" xr:uid="{00000000-0002-0000-0300-00002D000000}"/>
    <dataValidation type="custom" allowBlank="1" showErrorMessage="1" errorTitle="Budget Office" error="Please enter &quot;Yes&quot; only for NUNC, PSA,PTAA, URIP and MPA participating employees._x000a__x000a_Enter &quot;No&quot; for all other employees._x000a_" sqref="L7:L27" xr:uid="{00000000-0002-0000-0300-00002E000000}">
      <formula1>IF(OR($I7="NUNC",$I7="PSA",$I7="PTAA",$I7="URIP",$I7="MPA"),OR($L7="Yes",$L7="No"),$L7="No")</formula1>
    </dataValidation>
    <dataValidation allowBlank="1" showInputMessage="1" showErrorMessage="1" promptTitle="TIAA HP" prompt="_x000a_Contribution to the TIAA hybrid retirement plan established for classified employees." sqref="U5" xr:uid="{00000000-0002-0000-0300-00002F000000}"/>
    <dataValidation allowBlank="1" showInputMessage="1" showErrorMessage="1" promptTitle="Payroll Accrual " prompt="_x000a_27th Payroll Accrual." sqref="AD5" xr:uid="{00000000-0002-0000-0300-000030000000}"/>
    <dataValidation type="whole" allowBlank="1" showInputMessage="1" showErrorMessage="1" errorTitle="Budget Office" error="Please enter a whole number between 0 and 100." sqref="O7:O27" xr:uid="{00000000-0002-0000-0300-000031000000}">
      <formula1>0</formula1>
      <formula2>100</formula2>
    </dataValidation>
    <dataValidation allowBlank="1" showInputMessage="1" errorTitle="Budget Office" error="Please enter a valid number." promptTitle="Value needed if cell is red!" prompt="_x000a_Specify how long an employee has been at URI._x000a__x000a_Instructions:_x000a_- Enter a whole number between 0 and 100._x000a__x000a_(required for calculations)" sqref="O6" xr:uid="{00000000-0002-0000-0300-000032000000}"/>
  </dataValidations>
  <pageMargins left="0.18" right="0.17" top="0.23" bottom="0.38" header="0.17" footer="0.17"/>
  <pageSetup paperSize="5" scale="45" fitToHeight="0" orientation="landscape" r:id="rId1"/>
  <headerFooter>
    <oddFooter>&amp;L&amp;"Arial,Regular"&amp;8&amp;F&amp;C&amp;"Arial,Regular"&amp;8Page &amp;P of &amp;N&amp;R&amp;"Arial,Regular"&amp;8&amp;A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pageSetUpPr fitToPage="1"/>
  </sheetPr>
  <dimension ref="A1:R100"/>
  <sheetViews>
    <sheetView zoomScale="110" zoomScaleNormal="110" zoomScalePageLayoutView="70" workbookViewId="0">
      <pane ySplit="1" topLeftCell="A2" activePane="bottomLeft" state="frozen"/>
      <selection pane="bottomLeft" activeCell="B11" sqref="B11"/>
    </sheetView>
  </sheetViews>
  <sheetFormatPr defaultColWidth="8.7109375" defaultRowHeight="12"/>
  <cols>
    <col min="1" max="1" width="17.7109375" style="74" customWidth="1"/>
    <col min="2" max="2" width="12.28515625" style="74" customWidth="1"/>
    <col min="3" max="6" width="10.7109375" style="74" customWidth="1"/>
    <col min="7" max="7" width="12.28515625" style="74" customWidth="1"/>
    <col min="8" max="13" width="10.7109375" style="74" customWidth="1"/>
    <col min="14" max="14" width="12.28515625" style="74" customWidth="1"/>
    <col min="15" max="15" width="10.7109375" style="74" customWidth="1"/>
    <col min="16" max="16" width="15.28515625" style="74" customWidth="1"/>
    <col min="17" max="17" width="3.28515625" style="74" customWidth="1"/>
    <col min="18" max="16384" width="8.7109375" style="74"/>
  </cols>
  <sheetData>
    <row r="1" spans="1:17" s="72" customFormat="1" ht="18.75" thickBot="1">
      <c r="A1" s="69" t="s">
        <v>241</v>
      </c>
      <c r="B1" s="70"/>
      <c r="C1" s="70"/>
      <c r="D1" s="70"/>
      <c r="E1" s="70"/>
      <c r="F1" s="70"/>
      <c r="G1" s="70"/>
      <c r="H1" s="70"/>
      <c r="I1" s="70"/>
      <c r="J1" s="70"/>
      <c r="K1" s="70"/>
      <c r="L1" s="70"/>
      <c r="M1" s="70"/>
      <c r="N1" s="70"/>
      <c r="O1" s="70"/>
      <c r="P1" s="70"/>
      <c r="Q1" s="71"/>
    </row>
    <row r="2" spans="1:17" ht="12.75" thickBot="1">
      <c r="A2" s="73"/>
      <c r="B2" s="73"/>
      <c r="C2" s="73"/>
      <c r="D2" s="73"/>
      <c r="E2" s="73"/>
      <c r="F2" s="73"/>
      <c r="G2" s="73"/>
      <c r="H2" s="73"/>
      <c r="I2" s="73"/>
      <c r="J2" s="73"/>
      <c r="K2" s="73"/>
      <c r="L2" s="73"/>
      <c r="M2" s="73"/>
      <c r="N2" s="73"/>
      <c r="O2" s="73"/>
      <c r="P2" s="73"/>
    </row>
    <row r="3" spans="1:17" ht="12.75" thickBot="1">
      <c r="A3" s="76" t="s">
        <v>14</v>
      </c>
      <c r="B3" s="77"/>
      <c r="C3" s="77"/>
      <c r="D3" s="77"/>
      <c r="E3" s="77"/>
      <c r="F3" s="77"/>
      <c r="G3" s="77"/>
      <c r="H3" s="77"/>
      <c r="I3" s="77"/>
      <c r="J3" s="77"/>
      <c r="K3" s="77"/>
      <c r="L3" s="77"/>
      <c r="M3" s="77"/>
      <c r="N3" s="77"/>
      <c r="O3" s="77"/>
      <c r="P3" s="78"/>
    </row>
    <row r="4" spans="1:17" ht="15" customHeight="1">
      <c r="A4" s="81"/>
      <c r="B4" s="82" t="s">
        <v>97</v>
      </c>
      <c r="C4" s="83"/>
      <c r="D4" s="83"/>
      <c r="E4" s="83"/>
      <c r="F4" s="83"/>
      <c r="G4" s="82" t="s">
        <v>98</v>
      </c>
      <c r="H4" s="83"/>
      <c r="I4" s="83"/>
      <c r="J4" s="83"/>
      <c r="K4" s="83"/>
      <c r="L4" s="83"/>
      <c r="M4" s="83"/>
      <c r="N4" s="82" t="s">
        <v>99</v>
      </c>
      <c r="O4" s="83"/>
      <c r="P4" s="84" t="s">
        <v>100</v>
      </c>
    </row>
    <row r="5" spans="1:17" ht="12.75" thickBot="1">
      <c r="A5" s="88" t="s">
        <v>51</v>
      </c>
      <c r="B5" s="89" t="s">
        <v>61</v>
      </c>
      <c r="C5" s="90" t="s">
        <v>36</v>
      </c>
      <c r="D5" s="90" t="s">
        <v>40</v>
      </c>
      <c r="E5" s="90" t="s">
        <v>62</v>
      </c>
      <c r="F5" s="90" t="s">
        <v>29</v>
      </c>
      <c r="G5" s="89" t="s">
        <v>60</v>
      </c>
      <c r="H5" s="90" t="s">
        <v>32</v>
      </c>
      <c r="I5" s="90" t="s">
        <v>37</v>
      </c>
      <c r="J5" s="90" t="s">
        <v>33</v>
      </c>
      <c r="K5" s="90" t="s">
        <v>63</v>
      </c>
      <c r="L5" s="91" t="s">
        <v>15</v>
      </c>
      <c r="M5" s="91" t="s">
        <v>24</v>
      </c>
      <c r="N5" s="89" t="s">
        <v>9</v>
      </c>
      <c r="O5" s="92" t="s">
        <v>41</v>
      </c>
      <c r="P5" s="93" t="s">
        <v>25</v>
      </c>
    </row>
    <row r="6" spans="1:17">
      <c r="A6" s="96" t="s">
        <v>28</v>
      </c>
      <c r="B6" s="187">
        <v>9209</v>
      </c>
      <c r="C6" s="188">
        <f>CRFormula_ClasRates</f>
        <v>9209</v>
      </c>
      <c r="D6" s="188">
        <f t="shared" ref="C6:F13" si="0">CRFormula_ClasRates</f>
        <v>9209</v>
      </c>
      <c r="E6" s="188">
        <f t="shared" si="0"/>
        <v>9209</v>
      </c>
      <c r="F6" s="188">
        <f t="shared" si="0"/>
        <v>9209</v>
      </c>
      <c r="G6" s="187">
        <f t="shared" ref="G6:G13" si="1">B6</f>
        <v>9209</v>
      </c>
      <c r="H6" s="188">
        <f t="shared" ref="H6:M13" si="2">CRFormula_NoncRates</f>
        <v>9209</v>
      </c>
      <c r="I6" s="188">
        <f t="shared" si="2"/>
        <v>9209</v>
      </c>
      <c r="J6" s="188">
        <f t="shared" si="2"/>
        <v>9209</v>
      </c>
      <c r="K6" s="188">
        <f t="shared" si="2"/>
        <v>9209</v>
      </c>
      <c r="L6" s="189">
        <f t="shared" si="2"/>
        <v>9209</v>
      </c>
      <c r="M6" s="189">
        <f t="shared" si="2"/>
        <v>9209</v>
      </c>
      <c r="N6" s="187">
        <f>G6</f>
        <v>9209</v>
      </c>
      <c r="O6" s="189">
        <f t="shared" ref="O6:O13" si="3">CRFormula_FacuRates</f>
        <v>9209</v>
      </c>
      <c r="P6" s="190">
        <v>0</v>
      </c>
    </row>
    <row r="7" spans="1:17">
      <c r="A7" s="96" t="s">
        <v>35</v>
      </c>
      <c r="B7" s="187">
        <v>25814</v>
      </c>
      <c r="C7" s="188">
        <f t="shared" si="0"/>
        <v>25814</v>
      </c>
      <c r="D7" s="188">
        <f t="shared" si="0"/>
        <v>25814</v>
      </c>
      <c r="E7" s="188">
        <f t="shared" si="0"/>
        <v>25814</v>
      </c>
      <c r="F7" s="188">
        <f t="shared" si="0"/>
        <v>25814</v>
      </c>
      <c r="G7" s="187">
        <f t="shared" si="1"/>
        <v>25814</v>
      </c>
      <c r="H7" s="188">
        <f t="shared" si="2"/>
        <v>25814</v>
      </c>
      <c r="I7" s="188">
        <f t="shared" si="2"/>
        <v>25814</v>
      </c>
      <c r="J7" s="188">
        <f t="shared" si="2"/>
        <v>25814</v>
      </c>
      <c r="K7" s="188">
        <f t="shared" si="2"/>
        <v>25814</v>
      </c>
      <c r="L7" s="189">
        <f t="shared" si="2"/>
        <v>25814</v>
      </c>
      <c r="M7" s="189">
        <f t="shared" si="2"/>
        <v>25814</v>
      </c>
      <c r="N7" s="187">
        <f t="shared" ref="N7:N13" si="4">G7</f>
        <v>25814</v>
      </c>
      <c r="O7" s="189">
        <f t="shared" si="3"/>
        <v>25814</v>
      </c>
      <c r="P7" s="190">
        <v>0</v>
      </c>
    </row>
    <row r="8" spans="1:17">
      <c r="A8" s="96" t="s">
        <v>59</v>
      </c>
      <c r="B8" s="187">
        <v>0</v>
      </c>
      <c r="C8" s="188">
        <f t="shared" si="0"/>
        <v>0</v>
      </c>
      <c r="D8" s="188">
        <f t="shared" si="0"/>
        <v>0</v>
      </c>
      <c r="E8" s="188">
        <f t="shared" si="0"/>
        <v>0</v>
      </c>
      <c r="F8" s="188">
        <f t="shared" si="0"/>
        <v>0</v>
      </c>
      <c r="G8" s="187">
        <f t="shared" si="1"/>
        <v>0</v>
      </c>
      <c r="H8" s="188">
        <f t="shared" si="2"/>
        <v>0</v>
      </c>
      <c r="I8" s="188">
        <f t="shared" si="2"/>
        <v>0</v>
      </c>
      <c r="J8" s="188">
        <f t="shared" si="2"/>
        <v>0</v>
      </c>
      <c r="K8" s="188">
        <f t="shared" si="2"/>
        <v>0</v>
      </c>
      <c r="L8" s="189">
        <f t="shared" si="2"/>
        <v>0</v>
      </c>
      <c r="M8" s="189">
        <f t="shared" si="2"/>
        <v>0</v>
      </c>
      <c r="N8" s="187">
        <f t="shared" si="4"/>
        <v>0</v>
      </c>
      <c r="O8" s="189">
        <f t="shared" si="3"/>
        <v>0</v>
      </c>
      <c r="P8" s="190">
        <v>0</v>
      </c>
    </row>
    <row r="9" spans="1:17">
      <c r="A9" s="96" t="s">
        <v>3</v>
      </c>
      <c r="B9" s="187">
        <v>20334</v>
      </c>
      <c r="C9" s="188">
        <f t="shared" si="0"/>
        <v>20334</v>
      </c>
      <c r="D9" s="188">
        <f t="shared" si="0"/>
        <v>20334</v>
      </c>
      <c r="E9" s="188">
        <f t="shared" si="0"/>
        <v>20334</v>
      </c>
      <c r="F9" s="188">
        <f t="shared" si="0"/>
        <v>20334</v>
      </c>
      <c r="G9" s="187">
        <f t="shared" si="1"/>
        <v>20334</v>
      </c>
      <c r="H9" s="188">
        <f t="shared" si="2"/>
        <v>20334</v>
      </c>
      <c r="I9" s="188">
        <f t="shared" si="2"/>
        <v>20334</v>
      </c>
      <c r="J9" s="188">
        <f t="shared" si="2"/>
        <v>20334</v>
      </c>
      <c r="K9" s="188">
        <f t="shared" si="2"/>
        <v>20334</v>
      </c>
      <c r="L9" s="189">
        <f t="shared" si="2"/>
        <v>20334</v>
      </c>
      <c r="M9" s="189">
        <f t="shared" si="2"/>
        <v>20334</v>
      </c>
      <c r="N9" s="187">
        <f t="shared" si="4"/>
        <v>20334</v>
      </c>
      <c r="O9" s="189">
        <f t="shared" si="3"/>
        <v>20334</v>
      </c>
      <c r="P9" s="190">
        <v>0</v>
      </c>
    </row>
    <row r="10" spans="1:17">
      <c r="A10" s="96" t="s">
        <v>26</v>
      </c>
      <c r="B10" s="187">
        <v>0</v>
      </c>
      <c r="C10" s="188">
        <f t="shared" si="0"/>
        <v>0</v>
      </c>
      <c r="D10" s="188">
        <f t="shared" si="0"/>
        <v>0</v>
      </c>
      <c r="E10" s="188">
        <f t="shared" si="0"/>
        <v>0</v>
      </c>
      <c r="F10" s="188">
        <f t="shared" si="0"/>
        <v>0</v>
      </c>
      <c r="G10" s="187">
        <f t="shared" si="1"/>
        <v>0</v>
      </c>
      <c r="H10" s="188">
        <f t="shared" si="2"/>
        <v>0</v>
      </c>
      <c r="I10" s="188">
        <f t="shared" si="2"/>
        <v>0</v>
      </c>
      <c r="J10" s="188">
        <f t="shared" si="2"/>
        <v>0</v>
      </c>
      <c r="K10" s="188">
        <f t="shared" si="2"/>
        <v>0</v>
      </c>
      <c r="L10" s="189">
        <f t="shared" si="2"/>
        <v>0</v>
      </c>
      <c r="M10" s="189">
        <f t="shared" si="2"/>
        <v>0</v>
      </c>
      <c r="N10" s="187">
        <f t="shared" si="4"/>
        <v>0</v>
      </c>
      <c r="O10" s="189">
        <f t="shared" si="3"/>
        <v>0</v>
      </c>
      <c r="P10" s="190">
        <v>0</v>
      </c>
    </row>
    <row r="11" spans="1:17">
      <c r="A11" s="96" t="s">
        <v>39</v>
      </c>
      <c r="B11" s="187">
        <v>25814</v>
      </c>
      <c r="C11" s="188">
        <f t="shared" si="0"/>
        <v>25814</v>
      </c>
      <c r="D11" s="188">
        <f t="shared" si="0"/>
        <v>25814</v>
      </c>
      <c r="E11" s="188">
        <f t="shared" si="0"/>
        <v>25814</v>
      </c>
      <c r="F11" s="188">
        <f t="shared" si="0"/>
        <v>25814</v>
      </c>
      <c r="G11" s="187">
        <f t="shared" si="1"/>
        <v>25814</v>
      </c>
      <c r="H11" s="188">
        <f t="shared" si="2"/>
        <v>25814</v>
      </c>
      <c r="I11" s="188">
        <f t="shared" si="2"/>
        <v>25814</v>
      </c>
      <c r="J11" s="188">
        <f t="shared" si="2"/>
        <v>25814</v>
      </c>
      <c r="K11" s="188">
        <f t="shared" si="2"/>
        <v>25814</v>
      </c>
      <c r="L11" s="189">
        <f t="shared" si="2"/>
        <v>25814</v>
      </c>
      <c r="M11" s="189">
        <f t="shared" si="2"/>
        <v>25814</v>
      </c>
      <c r="N11" s="187">
        <f t="shared" si="4"/>
        <v>25814</v>
      </c>
      <c r="O11" s="189">
        <f t="shared" si="3"/>
        <v>25814</v>
      </c>
      <c r="P11" s="190">
        <v>0</v>
      </c>
    </row>
    <row r="12" spans="1:17">
      <c r="A12" s="96" t="s">
        <v>27</v>
      </c>
      <c r="B12" s="187">
        <v>0</v>
      </c>
      <c r="C12" s="188">
        <f t="shared" si="0"/>
        <v>0</v>
      </c>
      <c r="D12" s="188">
        <f t="shared" si="0"/>
        <v>0</v>
      </c>
      <c r="E12" s="188">
        <f t="shared" si="0"/>
        <v>0</v>
      </c>
      <c r="F12" s="188">
        <f t="shared" si="0"/>
        <v>0</v>
      </c>
      <c r="G12" s="187">
        <f t="shared" si="1"/>
        <v>0</v>
      </c>
      <c r="H12" s="188">
        <f t="shared" si="2"/>
        <v>0</v>
      </c>
      <c r="I12" s="188">
        <f t="shared" si="2"/>
        <v>0</v>
      </c>
      <c r="J12" s="188">
        <f t="shared" si="2"/>
        <v>0</v>
      </c>
      <c r="K12" s="188">
        <f t="shared" si="2"/>
        <v>0</v>
      </c>
      <c r="L12" s="189">
        <f t="shared" si="2"/>
        <v>0</v>
      </c>
      <c r="M12" s="189">
        <f t="shared" si="2"/>
        <v>0</v>
      </c>
      <c r="N12" s="187">
        <f t="shared" si="4"/>
        <v>0</v>
      </c>
      <c r="O12" s="189">
        <f t="shared" si="3"/>
        <v>0</v>
      </c>
      <c r="P12" s="190">
        <v>0</v>
      </c>
    </row>
    <row r="13" spans="1:17" ht="12.75" thickBot="1">
      <c r="A13" s="99" t="s">
        <v>16</v>
      </c>
      <c r="B13" s="193">
        <v>0</v>
      </c>
      <c r="C13" s="194">
        <f t="shared" si="0"/>
        <v>0</v>
      </c>
      <c r="D13" s="194">
        <f t="shared" si="0"/>
        <v>0</v>
      </c>
      <c r="E13" s="194">
        <f t="shared" si="0"/>
        <v>0</v>
      </c>
      <c r="F13" s="194">
        <f t="shared" si="0"/>
        <v>0</v>
      </c>
      <c r="G13" s="193">
        <f t="shared" si="1"/>
        <v>0</v>
      </c>
      <c r="H13" s="194">
        <f t="shared" si="2"/>
        <v>0</v>
      </c>
      <c r="I13" s="194">
        <f t="shared" si="2"/>
        <v>0</v>
      </c>
      <c r="J13" s="194">
        <f t="shared" si="2"/>
        <v>0</v>
      </c>
      <c r="K13" s="194">
        <f t="shared" si="2"/>
        <v>0</v>
      </c>
      <c r="L13" s="195">
        <f t="shared" si="2"/>
        <v>0</v>
      </c>
      <c r="M13" s="195">
        <f t="shared" si="2"/>
        <v>0</v>
      </c>
      <c r="N13" s="193">
        <f t="shared" si="4"/>
        <v>0</v>
      </c>
      <c r="O13" s="195">
        <f t="shared" si="3"/>
        <v>0</v>
      </c>
      <c r="P13" s="196">
        <v>0</v>
      </c>
    </row>
    <row r="14" spans="1:17">
      <c r="A14" s="73"/>
      <c r="B14" s="73"/>
      <c r="C14" s="73"/>
      <c r="D14" s="73"/>
      <c r="E14" s="73"/>
      <c r="F14" s="73"/>
      <c r="G14" s="73"/>
      <c r="H14" s="73"/>
      <c r="I14" s="73"/>
      <c r="J14" s="73"/>
      <c r="K14" s="73"/>
      <c r="L14" s="73"/>
      <c r="M14" s="73"/>
      <c r="N14" s="73"/>
      <c r="O14" s="73"/>
      <c r="P14" s="73"/>
    </row>
    <row r="15" spans="1:17" ht="12.75" thickBot="1">
      <c r="A15" s="73"/>
      <c r="B15" s="73"/>
      <c r="C15" s="73"/>
      <c r="D15" s="73"/>
      <c r="E15" s="73"/>
      <c r="F15" s="73"/>
      <c r="G15" s="73"/>
      <c r="H15" s="73"/>
      <c r="I15" s="73"/>
      <c r="J15" s="73"/>
      <c r="K15" s="73"/>
      <c r="L15" s="73"/>
      <c r="M15" s="73"/>
      <c r="N15" s="73"/>
      <c r="O15" s="73"/>
      <c r="P15" s="73"/>
    </row>
    <row r="16" spans="1:17" ht="12.75" thickBot="1">
      <c r="A16" s="76" t="s">
        <v>13</v>
      </c>
      <c r="B16" s="77"/>
      <c r="C16" s="77"/>
      <c r="D16" s="77"/>
      <c r="E16" s="77"/>
      <c r="F16" s="77"/>
      <c r="G16" s="77"/>
      <c r="H16" s="77"/>
      <c r="I16" s="77"/>
      <c r="J16" s="77"/>
      <c r="K16" s="77"/>
      <c r="L16" s="77"/>
      <c r="M16" s="77"/>
      <c r="N16" s="77"/>
      <c r="O16" s="77"/>
      <c r="P16" s="78"/>
    </row>
    <row r="17" spans="1:16">
      <c r="A17" s="81"/>
      <c r="B17" s="82" t="s">
        <v>97</v>
      </c>
      <c r="C17" s="83"/>
      <c r="D17" s="83"/>
      <c r="E17" s="83"/>
      <c r="F17" s="83"/>
      <c r="G17" s="82" t="s">
        <v>98</v>
      </c>
      <c r="H17" s="83"/>
      <c r="I17" s="83"/>
      <c r="J17" s="83"/>
      <c r="K17" s="83"/>
      <c r="L17" s="83"/>
      <c r="M17" s="83"/>
      <c r="N17" s="82" t="s">
        <v>99</v>
      </c>
      <c r="O17" s="83"/>
      <c r="P17" s="84" t="s">
        <v>100</v>
      </c>
    </row>
    <row r="18" spans="1:16" ht="12.75" thickBot="1">
      <c r="A18" s="88" t="s">
        <v>51</v>
      </c>
      <c r="B18" s="89" t="s">
        <v>61</v>
      </c>
      <c r="C18" s="90" t="s">
        <v>36</v>
      </c>
      <c r="D18" s="90" t="s">
        <v>40</v>
      </c>
      <c r="E18" s="90" t="s">
        <v>62</v>
      </c>
      <c r="F18" s="90" t="s">
        <v>29</v>
      </c>
      <c r="G18" s="89" t="s">
        <v>60</v>
      </c>
      <c r="H18" s="90" t="s">
        <v>32</v>
      </c>
      <c r="I18" s="90" t="s">
        <v>37</v>
      </c>
      <c r="J18" s="90" t="s">
        <v>33</v>
      </c>
      <c r="K18" s="90" t="s">
        <v>63</v>
      </c>
      <c r="L18" s="91" t="s">
        <v>15</v>
      </c>
      <c r="M18" s="91" t="s">
        <v>24</v>
      </c>
      <c r="N18" s="89" t="s">
        <v>9</v>
      </c>
      <c r="O18" s="92" t="s">
        <v>41</v>
      </c>
      <c r="P18" s="93" t="s">
        <v>25</v>
      </c>
    </row>
    <row r="19" spans="1:16">
      <c r="A19" s="96" t="s">
        <v>28</v>
      </c>
      <c r="B19" s="187">
        <v>442</v>
      </c>
      <c r="C19" s="188">
        <f t="shared" ref="C19:F26" si="5">CRFormula_ClasRates</f>
        <v>442</v>
      </c>
      <c r="D19" s="188">
        <f t="shared" si="5"/>
        <v>442</v>
      </c>
      <c r="E19" s="188">
        <f t="shared" si="5"/>
        <v>442</v>
      </c>
      <c r="F19" s="188">
        <f t="shared" si="5"/>
        <v>442</v>
      </c>
      <c r="G19" s="187">
        <f t="shared" ref="G19:G26" si="6">B19</f>
        <v>442</v>
      </c>
      <c r="H19" s="188">
        <f t="shared" ref="H19:M26" si="7">CRFormula_NoncRates</f>
        <v>442</v>
      </c>
      <c r="I19" s="188">
        <f t="shared" si="7"/>
        <v>442</v>
      </c>
      <c r="J19" s="188">
        <f t="shared" si="7"/>
        <v>442</v>
      </c>
      <c r="K19" s="188">
        <f t="shared" si="7"/>
        <v>442</v>
      </c>
      <c r="L19" s="189">
        <f t="shared" ref="L19:L26" si="8">CRFormula_NoncRates</f>
        <v>442</v>
      </c>
      <c r="M19" s="189">
        <f t="shared" si="7"/>
        <v>442</v>
      </c>
      <c r="N19" s="187">
        <f t="shared" ref="N19:N26" si="9">G19</f>
        <v>442</v>
      </c>
      <c r="O19" s="189">
        <f t="shared" ref="O19:O26" si="10">CRFormula_FacuRates</f>
        <v>442</v>
      </c>
      <c r="P19" s="190">
        <v>0</v>
      </c>
    </row>
    <row r="20" spans="1:16">
      <c r="A20" s="96" t="s">
        <v>35</v>
      </c>
      <c r="B20" s="187">
        <v>1142</v>
      </c>
      <c r="C20" s="188">
        <f t="shared" si="5"/>
        <v>1142</v>
      </c>
      <c r="D20" s="188">
        <f t="shared" si="5"/>
        <v>1142</v>
      </c>
      <c r="E20" s="188">
        <f t="shared" si="5"/>
        <v>1142</v>
      </c>
      <c r="F20" s="188">
        <f t="shared" si="5"/>
        <v>1142</v>
      </c>
      <c r="G20" s="187">
        <f t="shared" si="6"/>
        <v>1142</v>
      </c>
      <c r="H20" s="188">
        <f t="shared" si="7"/>
        <v>1142</v>
      </c>
      <c r="I20" s="188">
        <f t="shared" si="7"/>
        <v>1142</v>
      </c>
      <c r="J20" s="188">
        <f t="shared" si="7"/>
        <v>1142</v>
      </c>
      <c r="K20" s="188">
        <f t="shared" si="7"/>
        <v>1142</v>
      </c>
      <c r="L20" s="189">
        <f t="shared" si="8"/>
        <v>1142</v>
      </c>
      <c r="M20" s="189">
        <f t="shared" si="7"/>
        <v>1142</v>
      </c>
      <c r="N20" s="187">
        <f t="shared" si="9"/>
        <v>1142</v>
      </c>
      <c r="O20" s="189">
        <f t="shared" si="10"/>
        <v>1142</v>
      </c>
      <c r="P20" s="190">
        <v>0</v>
      </c>
    </row>
    <row r="21" spans="1:16">
      <c r="A21" s="96" t="s">
        <v>59</v>
      </c>
      <c r="B21" s="187">
        <v>1142</v>
      </c>
      <c r="C21" s="188">
        <f t="shared" si="5"/>
        <v>1142</v>
      </c>
      <c r="D21" s="188">
        <f t="shared" si="5"/>
        <v>1142</v>
      </c>
      <c r="E21" s="188">
        <f t="shared" si="5"/>
        <v>1142</v>
      </c>
      <c r="F21" s="188">
        <f t="shared" si="5"/>
        <v>1142</v>
      </c>
      <c r="G21" s="187">
        <f t="shared" si="6"/>
        <v>1142</v>
      </c>
      <c r="H21" s="188">
        <f t="shared" si="7"/>
        <v>1142</v>
      </c>
      <c r="I21" s="188">
        <f t="shared" si="7"/>
        <v>1142</v>
      </c>
      <c r="J21" s="188">
        <f t="shared" si="7"/>
        <v>1142</v>
      </c>
      <c r="K21" s="188">
        <f t="shared" si="7"/>
        <v>1142</v>
      </c>
      <c r="L21" s="189">
        <f t="shared" si="8"/>
        <v>1142</v>
      </c>
      <c r="M21" s="189">
        <f t="shared" si="7"/>
        <v>1142</v>
      </c>
      <c r="N21" s="187">
        <f t="shared" si="9"/>
        <v>1142</v>
      </c>
      <c r="O21" s="189">
        <f t="shared" si="10"/>
        <v>1142</v>
      </c>
      <c r="P21" s="190">
        <v>0</v>
      </c>
    </row>
    <row r="22" spans="1:16">
      <c r="A22" s="96" t="s">
        <v>3</v>
      </c>
      <c r="B22" s="187">
        <v>911</v>
      </c>
      <c r="C22" s="188">
        <f t="shared" si="5"/>
        <v>911</v>
      </c>
      <c r="D22" s="188">
        <f t="shared" si="5"/>
        <v>911</v>
      </c>
      <c r="E22" s="188">
        <f t="shared" si="5"/>
        <v>911</v>
      </c>
      <c r="F22" s="188">
        <f t="shared" si="5"/>
        <v>911</v>
      </c>
      <c r="G22" s="187">
        <f t="shared" si="6"/>
        <v>911</v>
      </c>
      <c r="H22" s="188">
        <f t="shared" si="7"/>
        <v>911</v>
      </c>
      <c r="I22" s="188">
        <f t="shared" si="7"/>
        <v>911</v>
      </c>
      <c r="J22" s="188">
        <f t="shared" si="7"/>
        <v>911</v>
      </c>
      <c r="K22" s="188">
        <f t="shared" si="7"/>
        <v>911</v>
      </c>
      <c r="L22" s="189">
        <f t="shared" si="8"/>
        <v>911</v>
      </c>
      <c r="M22" s="189">
        <f t="shared" si="7"/>
        <v>911</v>
      </c>
      <c r="N22" s="187">
        <f t="shared" si="9"/>
        <v>911</v>
      </c>
      <c r="O22" s="189">
        <f t="shared" si="10"/>
        <v>911</v>
      </c>
      <c r="P22" s="190">
        <v>0</v>
      </c>
    </row>
    <row r="23" spans="1:16">
      <c r="A23" s="96" t="s">
        <v>26</v>
      </c>
      <c r="B23" s="187">
        <v>0</v>
      </c>
      <c r="C23" s="188">
        <f t="shared" si="5"/>
        <v>0</v>
      </c>
      <c r="D23" s="188">
        <f t="shared" si="5"/>
        <v>0</v>
      </c>
      <c r="E23" s="188">
        <f t="shared" si="5"/>
        <v>0</v>
      </c>
      <c r="F23" s="188">
        <f t="shared" si="5"/>
        <v>0</v>
      </c>
      <c r="G23" s="187">
        <f t="shared" si="6"/>
        <v>0</v>
      </c>
      <c r="H23" s="188">
        <f t="shared" si="7"/>
        <v>0</v>
      </c>
      <c r="I23" s="188">
        <f t="shared" si="7"/>
        <v>0</v>
      </c>
      <c r="J23" s="188">
        <f t="shared" si="7"/>
        <v>0</v>
      </c>
      <c r="K23" s="188">
        <f t="shared" si="7"/>
        <v>0</v>
      </c>
      <c r="L23" s="189">
        <f t="shared" si="8"/>
        <v>0</v>
      </c>
      <c r="M23" s="189">
        <f t="shared" si="7"/>
        <v>0</v>
      </c>
      <c r="N23" s="187">
        <f t="shared" si="9"/>
        <v>0</v>
      </c>
      <c r="O23" s="189">
        <f t="shared" si="10"/>
        <v>0</v>
      </c>
      <c r="P23" s="190">
        <v>0</v>
      </c>
    </row>
    <row r="24" spans="1:16">
      <c r="A24" s="96" t="s">
        <v>39</v>
      </c>
      <c r="B24" s="187">
        <v>1142</v>
      </c>
      <c r="C24" s="188">
        <f t="shared" si="5"/>
        <v>1142</v>
      </c>
      <c r="D24" s="188">
        <f t="shared" si="5"/>
        <v>1142</v>
      </c>
      <c r="E24" s="188">
        <f t="shared" si="5"/>
        <v>1142</v>
      </c>
      <c r="F24" s="188">
        <f t="shared" si="5"/>
        <v>1142</v>
      </c>
      <c r="G24" s="187">
        <f t="shared" si="6"/>
        <v>1142</v>
      </c>
      <c r="H24" s="188">
        <f t="shared" si="7"/>
        <v>1142</v>
      </c>
      <c r="I24" s="188">
        <f t="shared" si="7"/>
        <v>1142</v>
      </c>
      <c r="J24" s="188">
        <f t="shared" si="7"/>
        <v>1142</v>
      </c>
      <c r="K24" s="188">
        <f t="shared" si="7"/>
        <v>1142</v>
      </c>
      <c r="L24" s="189">
        <f t="shared" si="8"/>
        <v>1142</v>
      </c>
      <c r="M24" s="189">
        <f t="shared" si="7"/>
        <v>1142</v>
      </c>
      <c r="N24" s="187">
        <f t="shared" si="9"/>
        <v>1142</v>
      </c>
      <c r="O24" s="189">
        <f t="shared" si="10"/>
        <v>1142</v>
      </c>
      <c r="P24" s="190">
        <v>0</v>
      </c>
    </row>
    <row r="25" spans="1:16">
      <c r="A25" s="96" t="s">
        <v>27</v>
      </c>
      <c r="B25" s="187">
        <v>0</v>
      </c>
      <c r="C25" s="188">
        <f t="shared" si="5"/>
        <v>0</v>
      </c>
      <c r="D25" s="188">
        <f t="shared" si="5"/>
        <v>0</v>
      </c>
      <c r="E25" s="188">
        <f t="shared" si="5"/>
        <v>0</v>
      </c>
      <c r="F25" s="188">
        <f t="shared" si="5"/>
        <v>0</v>
      </c>
      <c r="G25" s="187">
        <f t="shared" si="6"/>
        <v>0</v>
      </c>
      <c r="H25" s="188">
        <f t="shared" si="7"/>
        <v>0</v>
      </c>
      <c r="I25" s="188">
        <f t="shared" si="7"/>
        <v>0</v>
      </c>
      <c r="J25" s="188">
        <f t="shared" si="7"/>
        <v>0</v>
      </c>
      <c r="K25" s="188">
        <f t="shared" si="7"/>
        <v>0</v>
      </c>
      <c r="L25" s="189">
        <f t="shared" si="8"/>
        <v>0</v>
      </c>
      <c r="M25" s="189">
        <f t="shared" si="7"/>
        <v>0</v>
      </c>
      <c r="N25" s="187">
        <f t="shared" si="9"/>
        <v>0</v>
      </c>
      <c r="O25" s="189">
        <f t="shared" si="10"/>
        <v>0</v>
      </c>
      <c r="P25" s="190">
        <v>0</v>
      </c>
    </row>
    <row r="26" spans="1:16" ht="12.75" thickBot="1">
      <c r="A26" s="99" t="s">
        <v>16</v>
      </c>
      <c r="B26" s="193">
        <v>0</v>
      </c>
      <c r="C26" s="194">
        <f t="shared" si="5"/>
        <v>0</v>
      </c>
      <c r="D26" s="194">
        <f t="shared" si="5"/>
        <v>0</v>
      </c>
      <c r="E26" s="194">
        <f t="shared" si="5"/>
        <v>0</v>
      </c>
      <c r="F26" s="194">
        <f t="shared" si="5"/>
        <v>0</v>
      </c>
      <c r="G26" s="193">
        <f t="shared" si="6"/>
        <v>0</v>
      </c>
      <c r="H26" s="194">
        <f t="shared" si="7"/>
        <v>0</v>
      </c>
      <c r="I26" s="194">
        <f t="shared" si="7"/>
        <v>0</v>
      </c>
      <c r="J26" s="194">
        <f t="shared" si="7"/>
        <v>0</v>
      </c>
      <c r="K26" s="194">
        <f t="shared" si="7"/>
        <v>0</v>
      </c>
      <c r="L26" s="195">
        <f t="shared" si="8"/>
        <v>0</v>
      </c>
      <c r="M26" s="195">
        <f t="shared" si="7"/>
        <v>0</v>
      </c>
      <c r="N26" s="193">
        <f t="shared" si="9"/>
        <v>0</v>
      </c>
      <c r="O26" s="195">
        <f t="shared" si="10"/>
        <v>0</v>
      </c>
      <c r="P26" s="196">
        <v>0</v>
      </c>
    </row>
    <row r="27" spans="1:16">
      <c r="A27" s="73"/>
      <c r="B27" s="73"/>
      <c r="C27" s="73"/>
      <c r="D27" s="73"/>
      <c r="E27" s="73"/>
      <c r="F27" s="73"/>
      <c r="G27" s="73"/>
      <c r="H27" s="73"/>
      <c r="I27" s="73"/>
      <c r="J27" s="73"/>
      <c r="K27" s="73"/>
      <c r="L27" s="73"/>
      <c r="M27" s="73"/>
      <c r="N27" s="73"/>
      <c r="O27" s="73"/>
      <c r="P27" s="73"/>
    </row>
    <row r="28" spans="1:16" ht="12.75" thickBot="1">
      <c r="A28" s="73"/>
      <c r="B28" s="73"/>
      <c r="C28" s="73"/>
      <c r="D28" s="73"/>
      <c r="E28" s="73"/>
      <c r="F28" s="73"/>
      <c r="G28" s="73"/>
      <c r="H28" s="73"/>
      <c r="I28" s="73"/>
      <c r="J28" s="73"/>
      <c r="K28" s="73"/>
      <c r="L28" s="73"/>
      <c r="M28" s="73"/>
      <c r="N28" s="73"/>
      <c r="O28" s="73"/>
      <c r="P28" s="73"/>
    </row>
    <row r="29" spans="1:16" ht="12.75" thickBot="1">
      <c r="A29" s="76" t="s">
        <v>12</v>
      </c>
      <c r="B29" s="77"/>
      <c r="C29" s="77"/>
      <c r="D29" s="77"/>
      <c r="E29" s="77"/>
      <c r="F29" s="77"/>
      <c r="G29" s="77"/>
      <c r="H29" s="77"/>
      <c r="I29" s="77"/>
      <c r="J29" s="77"/>
      <c r="K29" s="77"/>
      <c r="L29" s="77"/>
      <c r="M29" s="77"/>
      <c r="N29" s="77"/>
      <c r="O29" s="77"/>
      <c r="P29" s="78"/>
    </row>
    <row r="30" spans="1:16">
      <c r="A30" s="81"/>
      <c r="B30" s="82" t="s">
        <v>97</v>
      </c>
      <c r="C30" s="83"/>
      <c r="D30" s="83"/>
      <c r="E30" s="83"/>
      <c r="F30" s="83"/>
      <c r="G30" s="82" t="s">
        <v>98</v>
      </c>
      <c r="H30" s="83"/>
      <c r="I30" s="83"/>
      <c r="J30" s="83"/>
      <c r="K30" s="83"/>
      <c r="L30" s="83"/>
      <c r="M30" s="83"/>
      <c r="N30" s="82" t="s">
        <v>99</v>
      </c>
      <c r="O30" s="83"/>
      <c r="P30" s="84" t="s">
        <v>100</v>
      </c>
    </row>
    <row r="31" spans="1:16" ht="12.75" thickBot="1">
      <c r="A31" s="88" t="s">
        <v>51</v>
      </c>
      <c r="B31" s="89" t="s">
        <v>61</v>
      </c>
      <c r="C31" s="90" t="s">
        <v>36</v>
      </c>
      <c r="D31" s="90" t="s">
        <v>40</v>
      </c>
      <c r="E31" s="90" t="s">
        <v>62</v>
      </c>
      <c r="F31" s="90" t="s">
        <v>29</v>
      </c>
      <c r="G31" s="89" t="s">
        <v>60</v>
      </c>
      <c r="H31" s="90" t="s">
        <v>32</v>
      </c>
      <c r="I31" s="90" t="s">
        <v>37</v>
      </c>
      <c r="J31" s="90" t="s">
        <v>33</v>
      </c>
      <c r="K31" s="90" t="s">
        <v>63</v>
      </c>
      <c r="L31" s="91" t="s">
        <v>15</v>
      </c>
      <c r="M31" s="91" t="s">
        <v>24</v>
      </c>
      <c r="N31" s="89" t="s">
        <v>9</v>
      </c>
      <c r="O31" s="92" t="s">
        <v>41</v>
      </c>
      <c r="P31" s="93" t="s">
        <v>25</v>
      </c>
    </row>
    <row r="32" spans="1:16">
      <c r="A32" s="96" t="s">
        <v>28</v>
      </c>
      <c r="B32" s="187">
        <v>68</v>
      </c>
      <c r="C32" s="188">
        <f t="shared" ref="C32:F39" si="11">CRFormula_ClasRates</f>
        <v>68</v>
      </c>
      <c r="D32" s="188">
        <f t="shared" si="11"/>
        <v>68</v>
      </c>
      <c r="E32" s="188">
        <f t="shared" si="11"/>
        <v>68</v>
      </c>
      <c r="F32" s="188">
        <f t="shared" si="11"/>
        <v>68</v>
      </c>
      <c r="G32" s="187">
        <f t="shared" ref="G32:G39" si="12">B32</f>
        <v>68</v>
      </c>
      <c r="H32" s="188">
        <f t="shared" ref="H32:M39" si="13">CRFormula_NoncRates</f>
        <v>68</v>
      </c>
      <c r="I32" s="188">
        <f t="shared" si="13"/>
        <v>68</v>
      </c>
      <c r="J32" s="188">
        <f t="shared" si="13"/>
        <v>68</v>
      </c>
      <c r="K32" s="188">
        <f t="shared" si="13"/>
        <v>68</v>
      </c>
      <c r="L32" s="189">
        <f t="shared" ref="L32:L39" si="14">CRFormula_NoncRates</f>
        <v>68</v>
      </c>
      <c r="M32" s="189">
        <f t="shared" si="13"/>
        <v>68</v>
      </c>
      <c r="N32" s="187">
        <f t="shared" ref="N32:N39" si="15">G32</f>
        <v>68</v>
      </c>
      <c r="O32" s="189">
        <f t="shared" ref="O32:O39" si="16">CRFormula_FacuRates</f>
        <v>68</v>
      </c>
      <c r="P32" s="190">
        <v>0</v>
      </c>
    </row>
    <row r="33" spans="1:18">
      <c r="A33" s="96" t="s">
        <v>35</v>
      </c>
      <c r="B33" s="187">
        <v>188</v>
      </c>
      <c r="C33" s="188">
        <f t="shared" si="11"/>
        <v>188</v>
      </c>
      <c r="D33" s="188">
        <f t="shared" si="11"/>
        <v>188</v>
      </c>
      <c r="E33" s="188">
        <f t="shared" si="11"/>
        <v>188</v>
      </c>
      <c r="F33" s="188">
        <f t="shared" si="11"/>
        <v>188</v>
      </c>
      <c r="G33" s="187">
        <f t="shared" si="12"/>
        <v>188</v>
      </c>
      <c r="H33" s="188">
        <f t="shared" si="13"/>
        <v>188</v>
      </c>
      <c r="I33" s="188">
        <f t="shared" si="13"/>
        <v>188</v>
      </c>
      <c r="J33" s="188">
        <f t="shared" si="13"/>
        <v>188</v>
      </c>
      <c r="K33" s="188">
        <f t="shared" si="13"/>
        <v>188</v>
      </c>
      <c r="L33" s="189">
        <f t="shared" si="14"/>
        <v>188</v>
      </c>
      <c r="M33" s="189">
        <f t="shared" si="13"/>
        <v>188</v>
      </c>
      <c r="N33" s="187">
        <f t="shared" si="15"/>
        <v>188</v>
      </c>
      <c r="O33" s="189">
        <f t="shared" si="16"/>
        <v>188</v>
      </c>
      <c r="P33" s="190">
        <v>0</v>
      </c>
    </row>
    <row r="34" spans="1:18">
      <c r="A34" s="96" t="s">
        <v>59</v>
      </c>
      <c r="B34" s="187">
        <v>188</v>
      </c>
      <c r="C34" s="188">
        <f t="shared" si="11"/>
        <v>188</v>
      </c>
      <c r="D34" s="188">
        <f t="shared" si="11"/>
        <v>188</v>
      </c>
      <c r="E34" s="188">
        <f t="shared" si="11"/>
        <v>188</v>
      </c>
      <c r="F34" s="188">
        <f t="shared" si="11"/>
        <v>188</v>
      </c>
      <c r="G34" s="187">
        <f t="shared" si="12"/>
        <v>188</v>
      </c>
      <c r="H34" s="188">
        <f t="shared" si="13"/>
        <v>188</v>
      </c>
      <c r="I34" s="188">
        <f t="shared" si="13"/>
        <v>188</v>
      </c>
      <c r="J34" s="188">
        <f t="shared" si="13"/>
        <v>188</v>
      </c>
      <c r="K34" s="188">
        <f t="shared" si="13"/>
        <v>188</v>
      </c>
      <c r="L34" s="189">
        <f t="shared" si="14"/>
        <v>188</v>
      </c>
      <c r="M34" s="189">
        <f t="shared" si="13"/>
        <v>188</v>
      </c>
      <c r="N34" s="187">
        <f t="shared" si="15"/>
        <v>188</v>
      </c>
      <c r="O34" s="189">
        <f t="shared" si="16"/>
        <v>188</v>
      </c>
      <c r="P34" s="190">
        <v>0</v>
      </c>
    </row>
    <row r="35" spans="1:18">
      <c r="A35" s="96" t="s">
        <v>3</v>
      </c>
      <c r="B35" s="187">
        <v>148</v>
      </c>
      <c r="C35" s="188">
        <f t="shared" si="11"/>
        <v>148</v>
      </c>
      <c r="D35" s="188">
        <f t="shared" si="11"/>
        <v>148</v>
      </c>
      <c r="E35" s="188">
        <f t="shared" si="11"/>
        <v>148</v>
      </c>
      <c r="F35" s="188">
        <f t="shared" si="11"/>
        <v>148</v>
      </c>
      <c r="G35" s="187">
        <f t="shared" si="12"/>
        <v>148</v>
      </c>
      <c r="H35" s="188">
        <f t="shared" si="13"/>
        <v>148</v>
      </c>
      <c r="I35" s="188">
        <f t="shared" si="13"/>
        <v>148</v>
      </c>
      <c r="J35" s="188">
        <f t="shared" si="13"/>
        <v>148</v>
      </c>
      <c r="K35" s="188">
        <f t="shared" si="13"/>
        <v>148</v>
      </c>
      <c r="L35" s="189">
        <f t="shared" si="14"/>
        <v>148</v>
      </c>
      <c r="M35" s="189">
        <f t="shared" si="13"/>
        <v>148</v>
      </c>
      <c r="N35" s="187">
        <f t="shared" si="15"/>
        <v>148</v>
      </c>
      <c r="O35" s="189">
        <f t="shared" si="16"/>
        <v>148</v>
      </c>
      <c r="P35" s="190">
        <v>0</v>
      </c>
    </row>
    <row r="36" spans="1:18">
      <c r="A36" s="96" t="s">
        <v>26</v>
      </c>
      <c r="B36" s="187">
        <v>0</v>
      </c>
      <c r="C36" s="188">
        <f t="shared" si="11"/>
        <v>0</v>
      </c>
      <c r="D36" s="188">
        <f t="shared" si="11"/>
        <v>0</v>
      </c>
      <c r="E36" s="188">
        <f t="shared" si="11"/>
        <v>0</v>
      </c>
      <c r="F36" s="188">
        <f t="shared" si="11"/>
        <v>0</v>
      </c>
      <c r="G36" s="187">
        <f t="shared" si="12"/>
        <v>0</v>
      </c>
      <c r="H36" s="188">
        <f t="shared" si="13"/>
        <v>0</v>
      </c>
      <c r="I36" s="188">
        <f t="shared" si="13"/>
        <v>0</v>
      </c>
      <c r="J36" s="188">
        <f t="shared" si="13"/>
        <v>0</v>
      </c>
      <c r="K36" s="188">
        <f t="shared" si="13"/>
        <v>0</v>
      </c>
      <c r="L36" s="189">
        <f t="shared" si="14"/>
        <v>0</v>
      </c>
      <c r="M36" s="189">
        <f t="shared" si="13"/>
        <v>0</v>
      </c>
      <c r="N36" s="187">
        <f t="shared" si="15"/>
        <v>0</v>
      </c>
      <c r="O36" s="189">
        <f t="shared" si="16"/>
        <v>0</v>
      </c>
      <c r="P36" s="190">
        <v>0</v>
      </c>
    </row>
    <row r="37" spans="1:18">
      <c r="A37" s="96" t="s">
        <v>39</v>
      </c>
      <c r="B37" s="187">
        <v>188</v>
      </c>
      <c r="C37" s="188">
        <f t="shared" si="11"/>
        <v>188</v>
      </c>
      <c r="D37" s="188">
        <f t="shared" si="11"/>
        <v>188</v>
      </c>
      <c r="E37" s="188">
        <f t="shared" si="11"/>
        <v>188</v>
      </c>
      <c r="F37" s="188">
        <f t="shared" si="11"/>
        <v>188</v>
      </c>
      <c r="G37" s="187">
        <f t="shared" si="12"/>
        <v>188</v>
      </c>
      <c r="H37" s="188">
        <f t="shared" si="13"/>
        <v>188</v>
      </c>
      <c r="I37" s="188">
        <f t="shared" si="13"/>
        <v>188</v>
      </c>
      <c r="J37" s="188">
        <f t="shared" si="13"/>
        <v>188</v>
      </c>
      <c r="K37" s="188">
        <f t="shared" si="13"/>
        <v>188</v>
      </c>
      <c r="L37" s="189">
        <f t="shared" si="14"/>
        <v>188</v>
      </c>
      <c r="M37" s="189">
        <f t="shared" si="13"/>
        <v>188</v>
      </c>
      <c r="N37" s="187">
        <f t="shared" si="15"/>
        <v>188</v>
      </c>
      <c r="O37" s="189">
        <f t="shared" si="16"/>
        <v>188</v>
      </c>
      <c r="P37" s="190">
        <v>0</v>
      </c>
    </row>
    <row r="38" spans="1:18">
      <c r="A38" s="96" t="s">
        <v>27</v>
      </c>
      <c r="B38" s="187">
        <v>0</v>
      </c>
      <c r="C38" s="188">
        <f t="shared" si="11"/>
        <v>0</v>
      </c>
      <c r="D38" s="188">
        <f t="shared" si="11"/>
        <v>0</v>
      </c>
      <c r="E38" s="188">
        <f t="shared" si="11"/>
        <v>0</v>
      </c>
      <c r="F38" s="188">
        <f t="shared" si="11"/>
        <v>0</v>
      </c>
      <c r="G38" s="187">
        <f t="shared" si="12"/>
        <v>0</v>
      </c>
      <c r="H38" s="188">
        <f t="shared" si="13"/>
        <v>0</v>
      </c>
      <c r="I38" s="188">
        <f t="shared" si="13"/>
        <v>0</v>
      </c>
      <c r="J38" s="188">
        <f t="shared" si="13"/>
        <v>0</v>
      </c>
      <c r="K38" s="188">
        <f t="shared" si="13"/>
        <v>0</v>
      </c>
      <c r="L38" s="189">
        <f t="shared" si="14"/>
        <v>0</v>
      </c>
      <c r="M38" s="189">
        <f t="shared" si="13"/>
        <v>0</v>
      </c>
      <c r="N38" s="187">
        <f t="shared" si="15"/>
        <v>0</v>
      </c>
      <c r="O38" s="189">
        <f t="shared" si="16"/>
        <v>0</v>
      </c>
      <c r="P38" s="190">
        <v>0</v>
      </c>
    </row>
    <row r="39" spans="1:18" ht="12.75" thickBot="1">
      <c r="A39" s="99" t="s">
        <v>16</v>
      </c>
      <c r="B39" s="193">
        <v>0</v>
      </c>
      <c r="C39" s="194">
        <f t="shared" si="11"/>
        <v>0</v>
      </c>
      <c r="D39" s="194">
        <f t="shared" si="11"/>
        <v>0</v>
      </c>
      <c r="E39" s="194">
        <f t="shared" si="11"/>
        <v>0</v>
      </c>
      <c r="F39" s="194">
        <f t="shared" si="11"/>
        <v>0</v>
      </c>
      <c r="G39" s="193">
        <f t="shared" si="12"/>
        <v>0</v>
      </c>
      <c r="H39" s="194">
        <f t="shared" si="13"/>
        <v>0</v>
      </c>
      <c r="I39" s="194">
        <f t="shared" si="13"/>
        <v>0</v>
      </c>
      <c r="J39" s="194">
        <f t="shared" si="13"/>
        <v>0</v>
      </c>
      <c r="K39" s="194">
        <f t="shared" si="13"/>
        <v>0</v>
      </c>
      <c r="L39" s="195">
        <f t="shared" si="14"/>
        <v>0</v>
      </c>
      <c r="M39" s="195">
        <f t="shared" si="13"/>
        <v>0</v>
      </c>
      <c r="N39" s="193">
        <f t="shared" si="15"/>
        <v>0</v>
      </c>
      <c r="O39" s="195">
        <f t="shared" si="16"/>
        <v>0</v>
      </c>
      <c r="P39" s="196">
        <v>0</v>
      </c>
    </row>
    <row r="40" spans="1:18">
      <c r="A40" s="73"/>
      <c r="B40" s="73"/>
      <c r="C40" s="73"/>
      <c r="D40" s="73"/>
      <c r="E40" s="73"/>
      <c r="F40" s="73"/>
      <c r="G40" s="73"/>
      <c r="H40" s="73"/>
      <c r="I40" s="73"/>
      <c r="J40" s="73"/>
      <c r="K40" s="73"/>
      <c r="L40" s="73"/>
      <c r="M40" s="73"/>
      <c r="N40" s="73"/>
      <c r="O40" s="73"/>
      <c r="P40" s="73"/>
    </row>
    <row r="41" spans="1:18" ht="12.75" thickBot="1">
      <c r="A41" s="73"/>
      <c r="B41" s="73"/>
      <c r="C41" s="73"/>
      <c r="D41" s="73"/>
      <c r="E41" s="73"/>
      <c r="F41" s="73"/>
      <c r="G41" s="73"/>
      <c r="H41" s="73"/>
      <c r="I41" s="73"/>
      <c r="J41" s="73"/>
      <c r="K41" s="73"/>
      <c r="L41" s="73"/>
      <c r="M41" s="73"/>
      <c r="N41" s="73"/>
      <c r="O41" s="73"/>
      <c r="P41" s="73"/>
    </row>
    <row r="42" spans="1:18" ht="12.75" thickBot="1">
      <c r="A42" s="224" t="s">
        <v>11</v>
      </c>
      <c r="B42" s="225"/>
      <c r="C42" s="225"/>
      <c r="D42" s="225"/>
      <c r="E42" s="225"/>
      <c r="F42" s="225"/>
      <c r="G42" s="225"/>
      <c r="H42" s="225"/>
      <c r="I42" s="225"/>
      <c r="J42" s="225"/>
      <c r="K42" s="225"/>
      <c r="L42" s="225"/>
      <c r="M42" s="225"/>
      <c r="N42" s="225"/>
      <c r="O42" s="225"/>
      <c r="P42" s="228"/>
    </row>
    <row r="43" spans="1:18">
      <c r="A43" s="81"/>
      <c r="B43" s="82" t="s">
        <v>97</v>
      </c>
      <c r="C43" s="83"/>
      <c r="D43" s="83"/>
      <c r="E43" s="83"/>
      <c r="F43" s="83"/>
      <c r="G43" s="82" t="s">
        <v>98</v>
      </c>
      <c r="H43" s="83"/>
      <c r="I43" s="83"/>
      <c r="J43" s="83"/>
      <c r="K43" s="83"/>
      <c r="L43" s="83"/>
      <c r="M43" s="83"/>
      <c r="N43" s="82" t="s">
        <v>99</v>
      </c>
      <c r="O43" s="83"/>
      <c r="P43" s="84" t="s">
        <v>100</v>
      </c>
    </row>
    <row r="44" spans="1:18" ht="12.75" thickBot="1">
      <c r="A44" s="88" t="s">
        <v>101</v>
      </c>
      <c r="B44" s="89" t="s">
        <v>61</v>
      </c>
      <c r="C44" s="90" t="s">
        <v>36</v>
      </c>
      <c r="D44" s="90" t="s">
        <v>40</v>
      </c>
      <c r="E44" s="90" t="s">
        <v>62</v>
      </c>
      <c r="F44" s="90" t="s">
        <v>29</v>
      </c>
      <c r="G44" s="89" t="s">
        <v>60</v>
      </c>
      <c r="H44" s="90" t="s">
        <v>32</v>
      </c>
      <c r="I44" s="90" t="s">
        <v>37</v>
      </c>
      <c r="J44" s="90" t="s">
        <v>33</v>
      </c>
      <c r="K44" s="90" t="s">
        <v>63</v>
      </c>
      <c r="L44" s="91" t="s">
        <v>15</v>
      </c>
      <c r="M44" s="91" t="s">
        <v>24</v>
      </c>
      <c r="N44" s="89" t="s">
        <v>9</v>
      </c>
      <c r="O44" s="92" t="s">
        <v>41</v>
      </c>
      <c r="P44" s="93" t="s">
        <v>25</v>
      </c>
      <c r="R44" s="74" t="s">
        <v>243</v>
      </c>
    </row>
    <row r="45" spans="1:18">
      <c r="A45" s="259">
        <v>0</v>
      </c>
      <c r="B45" s="197">
        <v>0.2</v>
      </c>
      <c r="C45" s="198">
        <f t="shared" ref="C45:F46" si="17">CRFormula_ClasCopayRates</f>
        <v>0.2</v>
      </c>
      <c r="D45" s="198">
        <f t="shared" si="17"/>
        <v>0.2</v>
      </c>
      <c r="E45" s="198">
        <f t="shared" si="17"/>
        <v>0.2</v>
      </c>
      <c r="F45" s="198">
        <f t="shared" si="17"/>
        <v>0.2</v>
      </c>
      <c r="G45" s="197">
        <v>0.2</v>
      </c>
      <c r="H45" s="198">
        <f t="shared" ref="H45:M47" si="18">CRFormula_NoncCopayRates</f>
        <v>0.2</v>
      </c>
      <c r="I45" s="198">
        <f t="shared" si="18"/>
        <v>0.2</v>
      </c>
      <c r="J45" s="198">
        <f t="shared" si="18"/>
        <v>0.2</v>
      </c>
      <c r="K45" s="198">
        <f t="shared" si="18"/>
        <v>0.2</v>
      </c>
      <c r="L45" s="229">
        <f t="shared" si="18"/>
        <v>0.2</v>
      </c>
      <c r="M45" s="229">
        <f t="shared" si="18"/>
        <v>0.2</v>
      </c>
      <c r="N45" s="197">
        <v>0.2</v>
      </c>
      <c r="O45" s="229">
        <f>CRFormula_FacuCopayRates</f>
        <v>0.2</v>
      </c>
      <c r="P45" s="230">
        <v>0</v>
      </c>
      <c r="R45" s="261">
        <v>0</v>
      </c>
    </row>
    <row r="46" spans="1:18">
      <c r="A46" s="259">
        <f>ROUND(R46*1.025,0)</f>
        <v>113516</v>
      </c>
      <c r="B46" s="197">
        <v>0.25</v>
      </c>
      <c r="C46" s="199">
        <f t="shared" si="17"/>
        <v>0.25</v>
      </c>
      <c r="D46" s="199">
        <f t="shared" si="17"/>
        <v>0.25</v>
      </c>
      <c r="E46" s="199">
        <f t="shared" si="17"/>
        <v>0.25</v>
      </c>
      <c r="F46" s="199">
        <f t="shared" si="17"/>
        <v>0.25</v>
      </c>
      <c r="G46" s="197">
        <v>0.2</v>
      </c>
      <c r="H46" s="199">
        <f t="shared" si="18"/>
        <v>0.2</v>
      </c>
      <c r="I46" s="199">
        <f t="shared" si="18"/>
        <v>0.2</v>
      </c>
      <c r="J46" s="199">
        <f t="shared" si="18"/>
        <v>0.2</v>
      </c>
      <c r="K46" s="199">
        <f t="shared" si="18"/>
        <v>0.2</v>
      </c>
      <c r="L46" s="231">
        <f t="shared" si="18"/>
        <v>0.2</v>
      </c>
      <c r="M46" s="231">
        <f t="shared" si="18"/>
        <v>0.2</v>
      </c>
      <c r="N46" s="197">
        <v>0.2</v>
      </c>
      <c r="O46" s="231">
        <f>CRFormula_FacuCopayRates</f>
        <v>0.2</v>
      </c>
      <c r="P46" s="232">
        <v>0</v>
      </c>
      <c r="R46" s="261">
        <v>110747</v>
      </c>
    </row>
    <row r="47" spans="1:18">
      <c r="A47" s="259">
        <f>ROUND(R47*1.025,0)</f>
        <v>124520</v>
      </c>
      <c r="B47" s="197">
        <v>0.25</v>
      </c>
      <c r="C47" s="199">
        <f t="shared" ref="C47:F48" si="19">CRFormula_ClasCopayRates</f>
        <v>0.25</v>
      </c>
      <c r="D47" s="199">
        <f t="shared" si="19"/>
        <v>0.25</v>
      </c>
      <c r="E47" s="199">
        <f t="shared" si="19"/>
        <v>0.25</v>
      </c>
      <c r="F47" s="199">
        <f t="shared" si="19"/>
        <v>0.25</v>
      </c>
      <c r="G47" s="197">
        <v>0.25</v>
      </c>
      <c r="H47" s="199">
        <f t="shared" ref="H47:M48" si="20">CRFormula_NoncCopayRates</f>
        <v>0.25</v>
      </c>
      <c r="I47" s="199">
        <f t="shared" si="18"/>
        <v>0.25</v>
      </c>
      <c r="J47" s="199">
        <f t="shared" si="20"/>
        <v>0.25</v>
      </c>
      <c r="K47" s="199">
        <f t="shared" si="20"/>
        <v>0.25</v>
      </c>
      <c r="L47" s="231">
        <f t="shared" si="20"/>
        <v>0.25</v>
      </c>
      <c r="M47" s="231">
        <f t="shared" si="20"/>
        <v>0.25</v>
      </c>
      <c r="N47" s="197">
        <v>0.2</v>
      </c>
      <c r="O47" s="231">
        <f>CRFormula_FacuCopayRates</f>
        <v>0.2</v>
      </c>
      <c r="P47" s="232">
        <v>0</v>
      </c>
      <c r="R47" s="261">
        <v>121483</v>
      </c>
    </row>
    <row r="48" spans="1:18" ht="12.75" thickBot="1">
      <c r="A48" s="260">
        <f>ROUND(R48*1.035,0)</f>
        <v>131408</v>
      </c>
      <c r="B48" s="200">
        <v>0.25</v>
      </c>
      <c r="C48" s="201">
        <f t="shared" si="19"/>
        <v>0.25</v>
      </c>
      <c r="D48" s="201">
        <f t="shared" si="19"/>
        <v>0.25</v>
      </c>
      <c r="E48" s="201">
        <f t="shared" si="19"/>
        <v>0.25</v>
      </c>
      <c r="F48" s="201">
        <f t="shared" si="19"/>
        <v>0.25</v>
      </c>
      <c r="G48" s="200">
        <v>0.25</v>
      </c>
      <c r="H48" s="201">
        <f t="shared" si="20"/>
        <v>0.25</v>
      </c>
      <c r="I48" s="201">
        <f t="shared" si="20"/>
        <v>0.25</v>
      </c>
      <c r="J48" s="201">
        <f t="shared" si="20"/>
        <v>0.25</v>
      </c>
      <c r="K48" s="201">
        <f t="shared" si="20"/>
        <v>0.25</v>
      </c>
      <c r="L48" s="233">
        <f t="shared" si="20"/>
        <v>0.25</v>
      </c>
      <c r="M48" s="233">
        <f t="shared" si="20"/>
        <v>0.25</v>
      </c>
      <c r="N48" s="200">
        <v>0.25</v>
      </c>
      <c r="O48" s="233">
        <f>CRFormula_FacuCopayRates</f>
        <v>0.25</v>
      </c>
      <c r="P48" s="234">
        <v>0</v>
      </c>
      <c r="R48" s="261">
        <v>126964</v>
      </c>
    </row>
    <row r="49" spans="1:18">
      <c r="A49" s="226"/>
      <c r="B49" s="227"/>
      <c r="C49" s="227"/>
      <c r="D49" s="227"/>
      <c r="E49" s="227"/>
      <c r="F49" s="227"/>
      <c r="G49" s="227"/>
      <c r="H49" s="227"/>
      <c r="I49" s="227"/>
      <c r="J49" s="227"/>
      <c r="K49" s="227"/>
      <c r="L49" s="227"/>
      <c r="M49" s="227"/>
      <c r="N49" s="227"/>
      <c r="O49" s="227"/>
      <c r="P49" s="227"/>
      <c r="R49" s="261"/>
    </row>
    <row r="50" spans="1:18" ht="12.75" thickBot="1">
      <c r="A50" s="226"/>
      <c r="B50" s="227"/>
      <c r="C50" s="227"/>
      <c r="D50" s="227"/>
      <c r="E50" s="227"/>
      <c r="F50" s="227"/>
      <c r="G50" s="227"/>
      <c r="H50" s="227"/>
      <c r="I50" s="227"/>
      <c r="J50" s="227"/>
      <c r="K50" s="227"/>
      <c r="L50" s="227"/>
      <c r="M50" s="227"/>
      <c r="N50" s="227"/>
      <c r="O50" s="227"/>
      <c r="P50" s="227"/>
      <c r="R50" s="261"/>
    </row>
    <row r="51" spans="1:18" ht="12.75" thickBot="1">
      <c r="A51" s="224" t="s">
        <v>10</v>
      </c>
      <c r="B51" s="225"/>
      <c r="C51" s="225"/>
      <c r="D51" s="225"/>
      <c r="E51" s="225"/>
      <c r="F51" s="225"/>
      <c r="G51" s="225"/>
      <c r="H51" s="225"/>
      <c r="I51" s="225"/>
      <c r="J51" s="225"/>
      <c r="K51" s="225"/>
      <c r="L51" s="225"/>
      <c r="M51" s="225"/>
      <c r="N51" s="225"/>
      <c r="O51" s="225"/>
      <c r="P51" s="228"/>
      <c r="R51" s="261"/>
    </row>
    <row r="52" spans="1:18">
      <c r="A52" s="81"/>
      <c r="B52" s="82" t="s">
        <v>97</v>
      </c>
      <c r="C52" s="83"/>
      <c r="D52" s="83"/>
      <c r="E52" s="83"/>
      <c r="F52" s="83"/>
      <c r="G52" s="82" t="s">
        <v>98</v>
      </c>
      <c r="H52" s="83"/>
      <c r="I52" s="83"/>
      <c r="J52" s="83"/>
      <c r="K52" s="83"/>
      <c r="L52" s="83"/>
      <c r="M52" s="83"/>
      <c r="N52" s="82" t="s">
        <v>99</v>
      </c>
      <c r="O52" s="83"/>
      <c r="P52" s="84" t="s">
        <v>100</v>
      </c>
      <c r="R52" s="261"/>
    </row>
    <row r="53" spans="1:18" ht="12.75" thickBot="1">
      <c r="A53" s="88" t="s">
        <v>101</v>
      </c>
      <c r="B53" s="89" t="s">
        <v>61</v>
      </c>
      <c r="C53" s="90" t="s">
        <v>36</v>
      </c>
      <c r="D53" s="90" t="s">
        <v>40</v>
      </c>
      <c r="E53" s="90" t="s">
        <v>62</v>
      </c>
      <c r="F53" s="90" t="s">
        <v>29</v>
      </c>
      <c r="G53" s="89" t="s">
        <v>60</v>
      </c>
      <c r="H53" s="90" t="s">
        <v>32</v>
      </c>
      <c r="I53" s="90" t="s">
        <v>37</v>
      </c>
      <c r="J53" s="90" t="s">
        <v>33</v>
      </c>
      <c r="K53" s="90" t="s">
        <v>63</v>
      </c>
      <c r="L53" s="91" t="s">
        <v>15</v>
      </c>
      <c r="M53" s="91" t="s">
        <v>24</v>
      </c>
      <c r="N53" s="89" t="s">
        <v>9</v>
      </c>
      <c r="O53" s="92" t="s">
        <v>41</v>
      </c>
      <c r="P53" s="93" t="s">
        <v>25</v>
      </c>
      <c r="R53" s="74" t="s">
        <v>243</v>
      </c>
    </row>
    <row r="54" spans="1:18">
      <c r="A54" s="259">
        <f t="shared" ref="A54:A59" si="21">ROUND(R54*1.025,0)</f>
        <v>0</v>
      </c>
      <c r="B54" s="197">
        <v>0.15</v>
      </c>
      <c r="C54" s="198">
        <f t="shared" ref="C54:F58" si="22">CRFormula_ClasCopayRates</f>
        <v>0.15</v>
      </c>
      <c r="D54" s="198">
        <f t="shared" si="22"/>
        <v>0.15</v>
      </c>
      <c r="E54" s="198">
        <f t="shared" si="22"/>
        <v>0.15</v>
      </c>
      <c r="F54" s="198">
        <f t="shared" si="22"/>
        <v>0.15</v>
      </c>
      <c r="G54" s="197">
        <v>0.15</v>
      </c>
      <c r="H54" s="199">
        <f t="shared" ref="H54:M57" si="23">CRFormula_NoncCopayRates</f>
        <v>0.15</v>
      </c>
      <c r="I54" s="199">
        <f t="shared" si="23"/>
        <v>0.15</v>
      </c>
      <c r="J54" s="199">
        <f t="shared" si="23"/>
        <v>0.15</v>
      </c>
      <c r="K54" s="198">
        <f t="shared" si="23"/>
        <v>0.15</v>
      </c>
      <c r="L54" s="229">
        <f t="shared" si="23"/>
        <v>0.15</v>
      </c>
      <c r="M54" s="229">
        <f t="shared" si="23"/>
        <v>0.15</v>
      </c>
      <c r="N54" s="197">
        <v>0.15</v>
      </c>
      <c r="O54" s="229">
        <f t="shared" ref="O54:O60" si="24">CRFormula_FacuCopayRates</f>
        <v>0.15</v>
      </c>
      <c r="P54" s="230">
        <v>0</v>
      </c>
      <c r="R54" s="261">
        <v>0</v>
      </c>
    </row>
    <row r="55" spans="1:18">
      <c r="A55" s="259">
        <f t="shared" si="21"/>
        <v>59051</v>
      </c>
      <c r="B55" s="197">
        <v>0.2</v>
      </c>
      <c r="C55" s="199">
        <f t="shared" si="22"/>
        <v>0.2</v>
      </c>
      <c r="D55" s="199">
        <f t="shared" si="22"/>
        <v>0.2</v>
      </c>
      <c r="E55" s="199">
        <f t="shared" si="22"/>
        <v>0.2</v>
      </c>
      <c r="F55" s="199">
        <f t="shared" si="22"/>
        <v>0.2</v>
      </c>
      <c r="G55" s="197">
        <v>0.15</v>
      </c>
      <c r="H55" s="199">
        <f t="shared" si="23"/>
        <v>0.15</v>
      </c>
      <c r="I55" s="199">
        <f t="shared" si="23"/>
        <v>0.15</v>
      </c>
      <c r="J55" s="199">
        <f t="shared" si="23"/>
        <v>0.15</v>
      </c>
      <c r="K55" s="199">
        <f t="shared" si="23"/>
        <v>0.15</v>
      </c>
      <c r="L55" s="231">
        <f t="shared" si="23"/>
        <v>0.15</v>
      </c>
      <c r="M55" s="231">
        <f t="shared" si="23"/>
        <v>0.15</v>
      </c>
      <c r="N55" s="197">
        <v>0.15</v>
      </c>
      <c r="O55" s="231">
        <f t="shared" si="24"/>
        <v>0.15</v>
      </c>
      <c r="P55" s="232">
        <v>0</v>
      </c>
      <c r="R55" s="261">
        <v>57611</v>
      </c>
    </row>
    <row r="56" spans="1:18">
      <c r="A56" s="259">
        <f t="shared" si="21"/>
        <v>62259</v>
      </c>
      <c r="B56" s="197">
        <v>0.2</v>
      </c>
      <c r="C56" s="199">
        <f t="shared" si="22"/>
        <v>0.2</v>
      </c>
      <c r="D56" s="199">
        <f t="shared" si="22"/>
        <v>0.2</v>
      </c>
      <c r="E56" s="199">
        <f t="shared" si="22"/>
        <v>0.2</v>
      </c>
      <c r="F56" s="199">
        <f t="shared" si="22"/>
        <v>0.2</v>
      </c>
      <c r="G56" s="197">
        <v>0.2</v>
      </c>
      <c r="H56" s="199">
        <f t="shared" si="23"/>
        <v>0.2</v>
      </c>
      <c r="I56" s="199">
        <f t="shared" si="23"/>
        <v>0.2</v>
      </c>
      <c r="J56" s="199">
        <f t="shared" si="23"/>
        <v>0.2</v>
      </c>
      <c r="K56" s="199">
        <f t="shared" si="23"/>
        <v>0.2</v>
      </c>
      <c r="L56" s="231">
        <f t="shared" si="23"/>
        <v>0.2</v>
      </c>
      <c r="M56" s="231">
        <f t="shared" si="23"/>
        <v>0.2</v>
      </c>
      <c r="N56" s="197">
        <v>0.15</v>
      </c>
      <c r="O56" s="231">
        <f t="shared" si="24"/>
        <v>0.15</v>
      </c>
      <c r="P56" s="232">
        <v>0</v>
      </c>
      <c r="R56" s="261">
        <v>60740</v>
      </c>
    </row>
    <row r="57" spans="1:18">
      <c r="A57" s="259">
        <f>ROUND(R57*1.035,0)</f>
        <v>65702</v>
      </c>
      <c r="B57" s="197">
        <v>0.2</v>
      </c>
      <c r="C57" s="199">
        <f t="shared" si="22"/>
        <v>0.2</v>
      </c>
      <c r="D57" s="199">
        <f t="shared" si="22"/>
        <v>0.2</v>
      </c>
      <c r="E57" s="199">
        <f t="shared" si="22"/>
        <v>0.2</v>
      </c>
      <c r="F57" s="199">
        <f t="shared" si="22"/>
        <v>0.2</v>
      </c>
      <c r="G57" s="197">
        <v>0.2</v>
      </c>
      <c r="H57" s="199">
        <f t="shared" si="23"/>
        <v>0.2</v>
      </c>
      <c r="I57" s="199">
        <f t="shared" si="23"/>
        <v>0.2</v>
      </c>
      <c r="J57" s="199">
        <f t="shared" si="23"/>
        <v>0.2</v>
      </c>
      <c r="K57" s="199">
        <f t="shared" si="23"/>
        <v>0.2</v>
      </c>
      <c r="L57" s="231">
        <f t="shared" si="23"/>
        <v>0.2</v>
      </c>
      <c r="M57" s="231">
        <f t="shared" si="23"/>
        <v>0.2</v>
      </c>
      <c r="N57" s="197">
        <v>0.2</v>
      </c>
      <c r="O57" s="231">
        <f t="shared" si="24"/>
        <v>0.2</v>
      </c>
      <c r="P57" s="232">
        <v>0</v>
      </c>
      <c r="R57" s="261">
        <v>63480</v>
      </c>
    </row>
    <row r="58" spans="1:18">
      <c r="A58" s="259">
        <f t="shared" si="21"/>
        <v>113516</v>
      </c>
      <c r="B58" s="197">
        <v>0.25</v>
      </c>
      <c r="C58" s="199">
        <f t="shared" si="22"/>
        <v>0.25</v>
      </c>
      <c r="D58" s="199">
        <f t="shared" si="22"/>
        <v>0.25</v>
      </c>
      <c r="E58" s="199">
        <f t="shared" si="22"/>
        <v>0.25</v>
      </c>
      <c r="F58" s="199">
        <f t="shared" si="22"/>
        <v>0.25</v>
      </c>
      <c r="G58" s="197">
        <v>0.2</v>
      </c>
      <c r="H58" s="199">
        <f t="shared" ref="H58:M60" si="25">CRFormula_NoncCopayRates</f>
        <v>0.2</v>
      </c>
      <c r="I58" s="199">
        <f t="shared" si="25"/>
        <v>0.2</v>
      </c>
      <c r="J58" s="199">
        <f t="shared" si="25"/>
        <v>0.2</v>
      </c>
      <c r="K58" s="199">
        <f t="shared" si="25"/>
        <v>0.2</v>
      </c>
      <c r="L58" s="231">
        <f t="shared" si="25"/>
        <v>0.2</v>
      </c>
      <c r="M58" s="231">
        <f t="shared" si="25"/>
        <v>0.2</v>
      </c>
      <c r="N58" s="197">
        <v>0.2</v>
      </c>
      <c r="O58" s="231">
        <f t="shared" si="24"/>
        <v>0.2</v>
      </c>
      <c r="P58" s="232">
        <v>0</v>
      </c>
      <c r="R58" s="261">
        <v>110747</v>
      </c>
    </row>
    <row r="59" spans="1:18">
      <c r="A59" s="259">
        <f t="shared" si="21"/>
        <v>124520</v>
      </c>
      <c r="B59" s="197">
        <v>0.25</v>
      </c>
      <c r="C59" s="199">
        <f t="shared" ref="C59:F60" si="26">CRFormula_ClasCopayRates</f>
        <v>0.25</v>
      </c>
      <c r="D59" s="199">
        <f t="shared" si="26"/>
        <v>0.25</v>
      </c>
      <c r="E59" s="199">
        <f t="shared" si="26"/>
        <v>0.25</v>
      </c>
      <c r="F59" s="199">
        <f t="shared" si="26"/>
        <v>0.25</v>
      </c>
      <c r="G59" s="197">
        <v>0.25</v>
      </c>
      <c r="H59" s="199">
        <f t="shared" si="25"/>
        <v>0.25</v>
      </c>
      <c r="I59" s="199">
        <f t="shared" si="25"/>
        <v>0.25</v>
      </c>
      <c r="J59" s="199">
        <f t="shared" si="25"/>
        <v>0.25</v>
      </c>
      <c r="K59" s="199">
        <f t="shared" si="25"/>
        <v>0.25</v>
      </c>
      <c r="L59" s="231">
        <f t="shared" si="25"/>
        <v>0.25</v>
      </c>
      <c r="M59" s="231">
        <f t="shared" si="25"/>
        <v>0.25</v>
      </c>
      <c r="N59" s="197">
        <v>0.2</v>
      </c>
      <c r="O59" s="231">
        <f t="shared" si="24"/>
        <v>0.2</v>
      </c>
      <c r="P59" s="232">
        <v>0</v>
      </c>
      <c r="R59" s="261">
        <v>121483</v>
      </c>
    </row>
    <row r="60" spans="1:18" ht="12.75" thickBot="1">
      <c r="A60" s="260">
        <f>ROUND(R60*1.035,0)</f>
        <v>131408</v>
      </c>
      <c r="B60" s="200">
        <v>0.25</v>
      </c>
      <c r="C60" s="201">
        <f t="shared" si="26"/>
        <v>0.25</v>
      </c>
      <c r="D60" s="201">
        <f t="shared" si="26"/>
        <v>0.25</v>
      </c>
      <c r="E60" s="201">
        <f t="shared" si="26"/>
        <v>0.25</v>
      </c>
      <c r="F60" s="201">
        <f t="shared" si="26"/>
        <v>0.25</v>
      </c>
      <c r="G60" s="200">
        <v>0.25</v>
      </c>
      <c r="H60" s="201">
        <f t="shared" si="25"/>
        <v>0.25</v>
      </c>
      <c r="I60" s="201">
        <f t="shared" si="25"/>
        <v>0.25</v>
      </c>
      <c r="J60" s="201">
        <f t="shared" si="25"/>
        <v>0.25</v>
      </c>
      <c r="K60" s="201">
        <f t="shared" si="25"/>
        <v>0.25</v>
      </c>
      <c r="L60" s="233">
        <f t="shared" si="25"/>
        <v>0.25</v>
      </c>
      <c r="M60" s="233">
        <f t="shared" si="25"/>
        <v>0.25</v>
      </c>
      <c r="N60" s="200">
        <v>0.25</v>
      </c>
      <c r="O60" s="233">
        <f t="shared" si="24"/>
        <v>0.25</v>
      </c>
      <c r="P60" s="234">
        <v>0</v>
      </c>
      <c r="R60" s="261">
        <v>126964</v>
      </c>
    </row>
    <row r="61" spans="1:18">
      <c r="A61" s="75"/>
      <c r="B61" s="75"/>
      <c r="C61" s="75"/>
      <c r="D61" s="75"/>
      <c r="E61" s="75"/>
      <c r="F61" s="75"/>
      <c r="G61" s="75"/>
      <c r="H61" s="75"/>
      <c r="I61" s="75"/>
      <c r="J61" s="75"/>
      <c r="K61" s="75"/>
      <c r="L61" s="75"/>
      <c r="M61" s="75"/>
      <c r="N61" s="75"/>
      <c r="O61" s="75"/>
      <c r="P61" s="75"/>
    </row>
    <row r="62" spans="1:18">
      <c r="A62" s="74" t="s">
        <v>192</v>
      </c>
      <c r="B62" s="75"/>
      <c r="C62" s="75"/>
      <c r="D62" s="75"/>
      <c r="E62" s="75"/>
      <c r="F62" s="75"/>
      <c r="G62" s="75"/>
      <c r="H62" s="75"/>
      <c r="I62" s="75"/>
      <c r="J62" s="75"/>
      <c r="K62" s="75"/>
      <c r="L62" s="75"/>
      <c r="M62" s="75"/>
      <c r="N62" s="75"/>
      <c r="O62" s="75"/>
      <c r="P62" s="75"/>
    </row>
    <row r="63" spans="1:18">
      <c r="H63" s="75"/>
      <c r="I63" s="75"/>
      <c r="J63" s="75"/>
      <c r="K63" s="75"/>
      <c r="M63" s="75"/>
      <c r="N63" s="75"/>
      <c r="O63" s="75"/>
      <c r="P63" s="75"/>
      <c r="Q63" s="75"/>
    </row>
    <row r="64" spans="1:18" ht="12.75" thickBot="1">
      <c r="O64" s="75"/>
      <c r="P64" s="75"/>
      <c r="Q64" s="75"/>
    </row>
    <row r="65" spans="1:17" ht="12.75" thickBot="1">
      <c r="A65" s="79" t="s">
        <v>8</v>
      </c>
      <c r="B65" s="80"/>
      <c r="C65" s="75"/>
      <c r="D65" s="202" t="s">
        <v>4</v>
      </c>
      <c r="E65" s="207"/>
      <c r="G65" s="202" t="s">
        <v>7</v>
      </c>
      <c r="H65" s="207"/>
      <c r="J65" s="202" t="s">
        <v>2</v>
      </c>
      <c r="K65" s="207"/>
      <c r="O65" s="202" t="s">
        <v>118</v>
      </c>
      <c r="P65" s="207"/>
      <c r="Q65" s="75"/>
    </row>
    <row r="66" spans="1:17" ht="15" customHeight="1">
      <c r="A66" s="85" t="s">
        <v>105</v>
      </c>
      <c r="B66" s="86"/>
      <c r="C66" s="87"/>
      <c r="D66" s="282" t="s">
        <v>103</v>
      </c>
      <c r="E66" s="284"/>
      <c r="F66" s="214"/>
      <c r="G66" s="282" t="s">
        <v>102</v>
      </c>
      <c r="H66" s="284"/>
      <c r="I66" s="214"/>
      <c r="J66" s="282" t="s">
        <v>104</v>
      </c>
      <c r="K66" s="284"/>
      <c r="L66" s="214"/>
      <c r="M66" s="214"/>
      <c r="O66" s="282" t="s">
        <v>119</v>
      </c>
      <c r="P66" s="284"/>
    </row>
    <row r="67" spans="1:17" ht="15.75" customHeight="1" thickBot="1">
      <c r="A67" s="94" t="s">
        <v>106</v>
      </c>
      <c r="B67" s="95" t="s">
        <v>107</v>
      </c>
      <c r="C67" s="87"/>
      <c r="D67" s="285"/>
      <c r="E67" s="287"/>
      <c r="F67" s="214"/>
      <c r="G67" s="285"/>
      <c r="H67" s="287"/>
      <c r="I67" s="214"/>
      <c r="J67" s="285"/>
      <c r="K67" s="287"/>
      <c r="L67" s="214"/>
      <c r="M67" s="214"/>
      <c r="O67" s="285"/>
      <c r="P67" s="287"/>
    </row>
    <row r="68" spans="1:17" ht="12.75" thickBot="1">
      <c r="A68" s="97" t="s">
        <v>34</v>
      </c>
      <c r="B68" s="191">
        <v>0.28970000000000001</v>
      </c>
      <c r="D68" s="98" t="s">
        <v>39</v>
      </c>
      <c r="E68" s="208"/>
      <c r="G68" s="98" t="s">
        <v>39</v>
      </c>
      <c r="H68" s="208"/>
      <c r="J68" s="203" t="s">
        <v>25</v>
      </c>
      <c r="K68" s="210"/>
      <c r="O68" s="206" t="s">
        <v>240</v>
      </c>
      <c r="P68" s="213"/>
    </row>
    <row r="69" spans="1:17">
      <c r="A69" s="98" t="s">
        <v>206</v>
      </c>
      <c r="B69" s="192">
        <v>0.01</v>
      </c>
      <c r="D69" s="98" t="s">
        <v>28</v>
      </c>
      <c r="E69" s="208"/>
      <c r="G69" s="98" t="s">
        <v>34</v>
      </c>
      <c r="H69" s="208"/>
      <c r="J69" s="215" t="s">
        <v>36</v>
      </c>
      <c r="K69" s="216"/>
    </row>
    <row r="70" spans="1:17">
      <c r="A70" s="98" t="s">
        <v>84</v>
      </c>
      <c r="B70" s="192">
        <v>4.5199999999999997E-2</v>
      </c>
      <c r="D70" s="98" t="s">
        <v>35</v>
      </c>
      <c r="E70" s="208"/>
      <c r="G70" s="98" t="s">
        <v>31</v>
      </c>
      <c r="H70" s="208"/>
      <c r="J70" s="204" t="s">
        <v>40</v>
      </c>
      <c r="K70" s="211"/>
    </row>
    <row r="71" spans="1:17">
      <c r="A71" s="98" t="s">
        <v>31</v>
      </c>
      <c r="B71" s="192">
        <v>0.09</v>
      </c>
      <c r="D71" s="98" t="s">
        <v>59</v>
      </c>
      <c r="E71" s="208"/>
      <c r="G71" s="98" t="s">
        <v>38</v>
      </c>
      <c r="H71" s="208"/>
      <c r="J71" s="204" t="s">
        <v>29</v>
      </c>
      <c r="K71" s="211"/>
    </row>
    <row r="72" spans="1:17">
      <c r="A72" s="98" t="s">
        <v>218</v>
      </c>
      <c r="B72" s="192">
        <v>6.2E-2</v>
      </c>
      <c r="D72" s="98" t="s">
        <v>3</v>
      </c>
      <c r="E72" s="208"/>
      <c r="G72" s="98" t="s">
        <v>6</v>
      </c>
      <c r="H72" s="208"/>
      <c r="J72" s="204" t="s">
        <v>62</v>
      </c>
      <c r="K72" s="211"/>
    </row>
    <row r="73" spans="1:17">
      <c r="A73" s="98" t="s">
        <v>219</v>
      </c>
      <c r="B73" s="192">
        <v>1.4500000000000001E-2</v>
      </c>
      <c r="D73" s="98" t="s">
        <v>26</v>
      </c>
      <c r="E73" s="208"/>
      <c r="G73" s="98" t="s">
        <v>42</v>
      </c>
      <c r="H73" s="208"/>
      <c r="J73" s="215" t="s">
        <v>15</v>
      </c>
      <c r="K73" s="216"/>
    </row>
    <row r="74" spans="1:17">
      <c r="A74" s="98" t="s">
        <v>213</v>
      </c>
      <c r="B74" s="192">
        <v>3.95E-2</v>
      </c>
      <c r="D74" s="98" t="s">
        <v>27</v>
      </c>
      <c r="E74" s="208"/>
      <c r="G74" s="98" t="s">
        <v>5</v>
      </c>
      <c r="H74" s="208"/>
      <c r="J74" s="204" t="s">
        <v>41</v>
      </c>
      <c r="K74" s="211"/>
    </row>
    <row r="75" spans="1:17" ht="12.75" thickBot="1">
      <c r="A75" s="98" t="s">
        <v>214</v>
      </c>
      <c r="B75" s="192">
        <v>3.3000000000000002E-2</v>
      </c>
      <c r="D75" s="100" t="s">
        <v>16</v>
      </c>
      <c r="E75" s="209"/>
      <c r="G75" s="98" t="s">
        <v>27</v>
      </c>
      <c r="H75" s="208"/>
      <c r="J75" s="204" t="s">
        <v>63</v>
      </c>
      <c r="K75" s="211"/>
    </row>
    <row r="76" spans="1:17">
      <c r="A76" s="98" t="s">
        <v>47</v>
      </c>
      <c r="B76" s="192">
        <v>8.0999999999999996E-3</v>
      </c>
      <c r="C76" s="75"/>
      <c r="G76" s="98" t="s">
        <v>16</v>
      </c>
      <c r="H76" s="208"/>
      <c r="J76" s="204" t="s">
        <v>33</v>
      </c>
      <c r="K76" s="211"/>
    </row>
    <row r="77" spans="1:17" ht="12.75" thickBot="1">
      <c r="A77" s="98" t="s">
        <v>0</v>
      </c>
      <c r="B77" s="192">
        <v>0.1714</v>
      </c>
      <c r="G77" s="100" t="s">
        <v>26</v>
      </c>
      <c r="H77" s="209"/>
      <c r="J77" s="204" t="s">
        <v>32</v>
      </c>
      <c r="K77" s="211"/>
    </row>
    <row r="78" spans="1:17">
      <c r="A78" s="98" t="s">
        <v>204</v>
      </c>
      <c r="B78" s="192">
        <v>2.1499999999999998E-2</v>
      </c>
      <c r="E78" s="75"/>
      <c r="G78" s="75"/>
      <c r="H78" s="75"/>
      <c r="J78" s="204" t="s">
        <v>37</v>
      </c>
      <c r="K78" s="211"/>
    </row>
    <row r="79" spans="1:17" ht="12.75" thickBot="1">
      <c r="A79" s="98" t="s">
        <v>211</v>
      </c>
      <c r="B79" s="189">
        <v>1001</v>
      </c>
      <c r="E79" s="75"/>
      <c r="H79" s="75"/>
      <c r="J79" s="205" t="s">
        <v>24</v>
      </c>
      <c r="K79" s="212"/>
    </row>
    <row r="80" spans="1:17" ht="12.75" thickBot="1">
      <c r="A80" s="100" t="s">
        <v>212</v>
      </c>
      <c r="B80" s="195">
        <v>1001</v>
      </c>
      <c r="E80" s="75"/>
    </row>
    <row r="81" spans="1:17">
      <c r="F81" s="75"/>
      <c r="O81" s="75"/>
      <c r="P81" s="75"/>
      <c r="Q81" s="75"/>
    </row>
    <row r="82" spans="1:17" ht="12.75" thickBot="1">
      <c r="F82" s="75"/>
      <c r="O82" s="75"/>
      <c r="P82" s="75"/>
      <c r="Q82" s="75"/>
    </row>
    <row r="83" spans="1:17" ht="12.75" thickBot="1">
      <c r="A83" s="202" t="s">
        <v>221</v>
      </c>
      <c r="B83" s="207"/>
      <c r="F83" s="75"/>
      <c r="O83" s="75"/>
      <c r="P83" s="75"/>
      <c r="Q83" s="75"/>
    </row>
    <row r="84" spans="1:17">
      <c r="A84" s="282" t="s">
        <v>220</v>
      </c>
      <c r="B84" s="284"/>
      <c r="F84" s="75"/>
      <c r="O84" s="75"/>
      <c r="P84" s="75"/>
      <c r="Q84" s="75"/>
    </row>
    <row r="85" spans="1:17" ht="12.75" thickBot="1">
      <c r="A85" s="285"/>
      <c r="B85" s="287"/>
      <c r="F85" s="75"/>
      <c r="G85" s="75"/>
      <c r="H85" s="75"/>
      <c r="I85" s="75"/>
      <c r="J85" s="75"/>
      <c r="K85" s="75"/>
      <c r="L85" s="75"/>
      <c r="M85" s="75"/>
      <c r="N85" s="75"/>
      <c r="O85" s="75"/>
      <c r="P85" s="75"/>
      <c r="Q85" s="75"/>
    </row>
    <row r="86" spans="1:17" ht="12.75" thickBot="1">
      <c r="A86" s="235">
        <v>160200</v>
      </c>
      <c r="B86" s="213"/>
      <c r="F86" s="75"/>
      <c r="G86" s="75"/>
      <c r="H86" s="75"/>
      <c r="I86" s="75"/>
      <c r="J86" s="75"/>
      <c r="K86" s="75"/>
      <c r="L86" s="75"/>
      <c r="M86" s="75"/>
      <c r="N86" s="75"/>
      <c r="O86" s="75"/>
      <c r="P86" s="75"/>
      <c r="Q86" s="75"/>
    </row>
    <row r="87" spans="1:17" ht="12.75" thickBot="1">
      <c r="F87" s="75"/>
      <c r="G87" s="75"/>
      <c r="H87" s="75"/>
      <c r="I87" s="75"/>
      <c r="J87" s="75"/>
      <c r="K87" s="75"/>
      <c r="L87" s="75"/>
      <c r="M87" s="75"/>
      <c r="N87" s="75"/>
      <c r="O87" s="75"/>
      <c r="P87" s="75"/>
      <c r="Q87" s="75"/>
    </row>
    <row r="88" spans="1:17" ht="12.75" thickBot="1">
      <c r="A88" s="202" t="s">
        <v>226</v>
      </c>
      <c r="B88" s="207"/>
      <c r="F88" s="75"/>
      <c r="G88" s="75"/>
      <c r="H88" s="75"/>
      <c r="I88" s="75"/>
      <c r="J88" s="75"/>
      <c r="K88" s="75"/>
      <c r="L88" s="75"/>
      <c r="M88" s="75"/>
      <c r="N88" s="75"/>
      <c r="O88" s="75"/>
      <c r="P88" s="75"/>
      <c r="Q88" s="75"/>
    </row>
    <row r="89" spans="1:17">
      <c r="A89" s="282" t="s">
        <v>225</v>
      </c>
      <c r="B89" s="284"/>
      <c r="F89" s="75"/>
      <c r="G89" s="75"/>
      <c r="H89" s="75"/>
      <c r="I89" s="75"/>
      <c r="J89" s="75"/>
      <c r="K89" s="75"/>
      <c r="L89" s="75"/>
      <c r="M89" s="75"/>
      <c r="N89" s="75"/>
      <c r="O89" s="75"/>
      <c r="P89" s="75"/>
      <c r="Q89" s="75"/>
    </row>
    <row r="90" spans="1:17" ht="12.75" thickBot="1">
      <c r="A90" s="285"/>
      <c r="B90" s="287"/>
      <c r="F90" s="75"/>
      <c r="G90" s="75"/>
      <c r="H90" s="75"/>
      <c r="I90" s="101"/>
      <c r="K90" s="75"/>
      <c r="L90" s="75"/>
      <c r="M90" s="75"/>
      <c r="N90" s="75"/>
      <c r="O90" s="75"/>
      <c r="P90" s="75"/>
      <c r="Q90" s="75"/>
    </row>
    <row r="91" spans="1:17" ht="12.75" thickBot="1">
      <c r="A91" s="236">
        <v>4.0000000000000001E-3</v>
      </c>
      <c r="B91" s="213"/>
      <c r="F91" s="75"/>
      <c r="G91" s="75"/>
      <c r="H91" s="75"/>
      <c r="I91" s="75"/>
      <c r="J91" s="75"/>
      <c r="K91" s="75"/>
      <c r="L91" s="75"/>
      <c r="M91" s="75"/>
      <c r="N91" s="75"/>
      <c r="O91" s="75"/>
      <c r="P91" s="75"/>
      <c r="Q91" s="75"/>
    </row>
    <row r="92" spans="1:17" ht="12.75" thickBot="1">
      <c r="D92" s="75"/>
      <c r="F92" s="75"/>
      <c r="G92" s="75"/>
      <c r="H92" s="75"/>
      <c r="I92" s="75"/>
      <c r="J92" s="75"/>
      <c r="K92" s="75"/>
      <c r="L92" s="75"/>
      <c r="M92" s="75"/>
      <c r="N92" s="75"/>
      <c r="O92" s="75"/>
      <c r="P92" s="75"/>
      <c r="Q92" s="75"/>
    </row>
    <row r="93" spans="1:17" ht="15.75" customHeight="1" thickBot="1">
      <c r="A93" s="279" t="s">
        <v>231</v>
      </c>
      <c r="B93" s="280"/>
      <c r="C93" s="280"/>
      <c r="D93" s="281"/>
      <c r="F93" s="75"/>
      <c r="G93" s="75"/>
      <c r="H93" s="75"/>
      <c r="I93" s="75"/>
      <c r="J93" s="75"/>
      <c r="K93" s="75"/>
      <c r="L93" s="75"/>
      <c r="M93" s="75"/>
      <c r="N93" s="75"/>
      <c r="O93" s="75"/>
      <c r="P93" s="75"/>
      <c r="Q93" s="75"/>
    </row>
    <row r="94" spans="1:17" ht="15" customHeight="1">
      <c r="A94" s="282" t="s">
        <v>232</v>
      </c>
      <c r="B94" s="283"/>
      <c r="C94" s="283"/>
      <c r="D94" s="284"/>
      <c r="F94" s="75"/>
      <c r="G94" s="75"/>
      <c r="H94" s="75"/>
      <c r="I94" s="75"/>
      <c r="J94" s="75"/>
      <c r="K94" s="75"/>
      <c r="L94" s="75"/>
      <c r="M94" s="75"/>
      <c r="N94" s="75"/>
      <c r="O94" s="75"/>
      <c r="P94" s="75"/>
      <c r="Q94" s="75"/>
    </row>
    <row r="95" spans="1:17" ht="15.75" customHeight="1" thickBot="1">
      <c r="A95" s="285"/>
      <c r="B95" s="286"/>
      <c r="C95" s="286"/>
      <c r="D95" s="287"/>
    </row>
    <row r="96" spans="1:17" ht="12" customHeight="1">
      <c r="A96" s="239" t="s">
        <v>237</v>
      </c>
      <c r="B96" s="288" t="s">
        <v>238</v>
      </c>
      <c r="C96" s="288"/>
      <c r="D96" s="240" t="s">
        <v>107</v>
      </c>
    </row>
    <row r="97" spans="1:6">
      <c r="A97" s="98" t="s">
        <v>233</v>
      </c>
      <c r="B97" s="241">
        <v>0</v>
      </c>
      <c r="C97" s="243">
        <v>10</v>
      </c>
      <c r="D97" s="192">
        <v>0.01</v>
      </c>
      <c r="F97" s="245"/>
    </row>
    <row r="98" spans="1:6">
      <c r="A98" s="98" t="s">
        <v>234</v>
      </c>
      <c r="B98" s="241">
        <v>10</v>
      </c>
      <c r="C98" s="243">
        <v>15</v>
      </c>
      <c r="D98" s="192">
        <v>1.2500000000000001E-2</v>
      </c>
    </row>
    <row r="99" spans="1:6">
      <c r="A99" s="98" t="s">
        <v>235</v>
      </c>
      <c r="B99" s="241">
        <v>15</v>
      </c>
      <c r="C99" s="243">
        <v>20</v>
      </c>
      <c r="D99" s="192">
        <v>1.4999999999999999E-2</v>
      </c>
      <c r="F99" s="258"/>
    </row>
    <row r="100" spans="1:6" ht="12.75" thickBot="1">
      <c r="A100" s="100" t="s">
        <v>236</v>
      </c>
      <c r="B100" s="242">
        <v>20</v>
      </c>
      <c r="C100" s="244"/>
      <c r="D100" s="238">
        <v>0</v>
      </c>
    </row>
  </sheetData>
  <mergeCells count="9">
    <mergeCell ref="A93:D93"/>
    <mergeCell ref="A94:D95"/>
    <mergeCell ref="B96:C96"/>
    <mergeCell ref="O66:P67"/>
    <mergeCell ref="J66:K67"/>
    <mergeCell ref="G66:H67"/>
    <mergeCell ref="D66:E67"/>
    <mergeCell ref="A84:B85"/>
    <mergeCell ref="A89:B90"/>
  </mergeCells>
  <phoneticPr fontId="3" type="noConversion"/>
  <pageMargins left="0.63" right="0.19" top="0.37" bottom="0.35" header="0.3" footer="0.22"/>
  <pageSetup scale="53" orientation="portrait" r:id="rId1"/>
  <headerFooter>
    <oddFooter>&amp;L&amp;"Arial,Regular"&amp;8&amp;F&amp;C&amp;"Arial,Regular"&amp;8Page &amp;P of &amp;N&amp;R&amp;"Arial,Regular"&amp;8&amp;A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2ea9100-13f6-4768-a3ea-d573913720cc" xsi:nil="true"/>
    <lcf76f155ced4ddcb4097134ff3c332f xmlns="4e361386-db3a-4b6e-a40e-cbc9df9c20e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FCD4C3071CCC4BB63F0906F52BE455" ma:contentTypeVersion="16" ma:contentTypeDescription="Create a new document." ma:contentTypeScope="" ma:versionID="f659b506fff1669c01b3e457092082b6">
  <xsd:schema xmlns:xsd="http://www.w3.org/2001/XMLSchema" xmlns:xs="http://www.w3.org/2001/XMLSchema" xmlns:p="http://schemas.microsoft.com/office/2006/metadata/properties" xmlns:ns1="http://schemas.microsoft.com/sharepoint/v3" xmlns:ns2="4e361386-db3a-4b6e-a40e-cbc9df9c20e1" xmlns:ns3="c2ea9100-13f6-4768-a3ea-d573913720cc" targetNamespace="http://schemas.microsoft.com/office/2006/metadata/properties" ma:root="true" ma:fieldsID="3e0d7d3391b6ae583969fec8825b8742" ns1:_="" ns2:_="" ns3:_="">
    <xsd:import namespace="http://schemas.microsoft.com/sharepoint/v3"/>
    <xsd:import namespace="4e361386-db3a-4b6e-a40e-cbc9df9c20e1"/>
    <xsd:import namespace="c2ea9100-13f6-4768-a3ea-d573913720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1386-db3a-4b6e-a40e-cbc9df9c2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70ae3a2-658d-42e2-b2b1-e7748017a603"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ea9100-13f6-4768-a3ea-d573913720c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dd99b45-0d99-4913-8c7b-6ea09c5add2f}" ma:internalName="TaxCatchAll" ma:showField="CatchAllData" ma:web="c2ea9100-13f6-4768-a3ea-d573913720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EC8381-C7A2-4CA3-B288-26F2F71C6894}">
  <ds:schemaRefs>
    <ds:schemaRef ds:uri="http://purl.org/dc/elements/1.1/"/>
    <ds:schemaRef ds:uri="4e361386-db3a-4b6e-a40e-cbc9df9c20e1"/>
    <ds:schemaRef ds:uri="http://schemas.microsoft.com/office/infopath/2007/PartnerControl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sharepoint/v3"/>
    <ds:schemaRef ds:uri="http://schemas.microsoft.com/office/2006/metadata/properties"/>
    <ds:schemaRef ds:uri="c2ea9100-13f6-4768-a3ea-d573913720cc"/>
  </ds:schemaRefs>
</ds:datastoreItem>
</file>

<file path=customXml/itemProps2.xml><?xml version="1.0" encoding="utf-8"?>
<ds:datastoreItem xmlns:ds="http://schemas.openxmlformats.org/officeDocument/2006/customXml" ds:itemID="{DC89E3ED-24BF-44F3-9AEC-D258C701A282}">
  <ds:schemaRefs>
    <ds:schemaRef ds:uri="http://schemas.microsoft.com/sharepoint/v3/contenttype/forms"/>
  </ds:schemaRefs>
</ds:datastoreItem>
</file>

<file path=customXml/itemProps3.xml><?xml version="1.0" encoding="utf-8"?>
<ds:datastoreItem xmlns:ds="http://schemas.openxmlformats.org/officeDocument/2006/customXml" ds:itemID="{2900BCEC-6AAA-44B4-985E-0F51778B42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61386-db3a-4b6e-a40e-cbc9df9c20e1"/>
    <ds:schemaRef ds:uri="c2ea9100-13f6-4768-a3ea-d57391372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56</vt:i4>
      </vt:variant>
    </vt:vector>
  </HeadingPairs>
  <TitlesOfParts>
    <vt:vector size="61" baseType="lpstr">
      <vt:lpstr>Instructions</vt:lpstr>
      <vt:lpstr>Calculator - Basic</vt:lpstr>
      <vt:lpstr>Calculator - Variance</vt:lpstr>
      <vt:lpstr>Calculator - Multiple Positions</vt:lpstr>
      <vt:lpstr>Codes &amp; Rates</vt:lpstr>
      <vt:lpstr>'Codes &amp; Rates'!CRFormula_ClasRates</vt:lpstr>
      <vt:lpstr>'Codes &amp; Rates'!CRFormula_FacuRates</vt:lpstr>
      <vt:lpstr>'Codes &amp; Rates'!CRFormula_NoncRates</vt:lpstr>
      <vt:lpstr>Current_cycle</vt:lpstr>
      <vt:lpstr>Dental_rates_plan</vt:lpstr>
      <vt:lpstr>Dental_rates_table</vt:lpstr>
      <vt:lpstr>Dental_rates_union</vt:lpstr>
      <vt:lpstr>ERS_rate</vt:lpstr>
      <vt:lpstr>ERSRHI_rate</vt:lpstr>
      <vt:lpstr>Family_copayrates_salary</vt:lpstr>
      <vt:lpstr>Family_copayrates_salaryrange</vt:lpstr>
      <vt:lpstr>Family_copayrates_table</vt:lpstr>
      <vt:lpstr>Family_copayrates_union</vt:lpstr>
      <vt:lpstr>Health_plan_table</vt:lpstr>
      <vt:lpstr>Individual_copayrates_salary</vt:lpstr>
      <vt:lpstr>Individual_copayrates_salaryrange</vt:lpstr>
      <vt:lpstr>Individual_copayrates_table</vt:lpstr>
      <vt:lpstr>Individual_copayrates_union</vt:lpstr>
      <vt:lpstr>Instr_basic_calc</vt:lpstr>
      <vt:lpstr>Instr_codes_rates</vt:lpstr>
      <vt:lpstr>Instr_contact</vt:lpstr>
      <vt:lpstr>Instr_gen_info</vt:lpstr>
      <vt:lpstr>Instr_multi_calc</vt:lpstr>
      <vt:lpstr>instr_top</vt:lpstr>
      <vt:lpstr>Instr_var_calc</vt:lpstr>
      <vt:lpstr>Medical_rates_plan</vt:lpstr>
      <vt:lpstr>Medical_rates_table</vt:lpstr>
      <vt:lpstr>Medical_rates_union</vt:lpstr>
      <vt:lpstr>Medicare_Rate</vt:lpstr>
      <vt:lpstr>Payroll_Accrual_Rate</vt:lpstr>
      <vt:lpstr>'Calculator - Basic'!Print_Area</vt:lpstr>
      <vt:lpstr>'Calculator - Multiple Positions'!Print_Area</vt:lpstr>
      <vt:lpstr>'Calculator - Variance'!Print_Area</vt:lpstr>
      <vt:lpstr>'Codes &amp; Rates'!Print_Area</vt:lpstr>
      <vt:lpstr>Instructions!Print_Area</vt:lpstr>
      <vt:lpstr>'Calculator - Multiple Positions'!Print_Titles</vt:lpstr>
      <vt:lpstr>Instructions!Print_Titles</vt:lpstr>
      <vt:lpstr>Retirement_plan_table</vt:lpstr>
      <vt:lpstr>RHBP_rate</vt:lpstr>
      <vt:lpstr>SAFB_faculty_rate</vt:lpstr>
      <vt:lpstr>SAFB_rate</vt:lpstr>
      <vt:lpstr>SBA_rate</vt:lpstr>
      <vt:lpstr>SBAgrad_rate</vt:lpstr>
      <vt:lpstr>Social_Security_Rate</vt:lpstr>
      <vt:lpstr>TIAA_rate</vt:lpstr>
      <vt:lpstr>TIAAHP_rate</vt:lpstr>
      <vt:lpstr>TIAAHP1_Rate</vt:lpstr>
      <vt:lpstr>TIAAHP2_Rate</vt:lpstr>
      <vt:lpstr>TIAAHP3_Rate</vt:lpstr>
      <vt:lpstr>TIAAHP4_Rate</vt:lpstr>
      <vt:lpstr>Union_table</vt:lpstr>
      <vt:lpstr>Vision_rates_plan</vt:lpstr>
      <vt:lpstr>Vision_rates_table</vt:lpstr>
      <vt:lpstr>Vision_rates_union</vt:lpstr>
      <vt:lpstr>WaiverClas_rate</vt:lpstr>
      <vt:lpstr>WaiverNonc_rate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 Trandafir</dc:creator>
  <cp:lastModifiedBy>Cheryl Hinkson</cp:lastModifiedBy>
  <cp:lastPrinted>2017-05-04T20:22:22Z</cp:lastPrinted>
  <dcterms:created xsi:type="dcterms:W3CDTF">2009-03-12T13:36:57Z</dcterms:created>
  <dcterms:modified xsi:type="dcterms:W3CDTF">2023-05-16T14:25:04Z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0x01010069FCD4C3071CCC4BB63F0906F52BE455</vt:lpwstr>
  </property>
  <property fmtid="{D5CDD505-2E9C-101B-9397-08002B2CF9AE}" pid="5" name="MediaServiceImageTags">
    <vt:lpwstr/>
  </property>
</Properties>
</file>